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85"/>
  </bookViews>
  <sheets>
    <sheet name="Оценка_9 мес" sheetId="1" r:id="rId1"/>
  </sheets>
  <definedNames>
    <definedName name="_xlnm.Print_Titles" localSheetId="0">'Оценка_9 мес'!$A:$C</definedName>
  </definedNames>
  <calcPr calcId="125725"/>
</workbook>
</file>

<file path=xl/calcChain.xml><?xml version="1.0" encoding="utf-8"?>
<calcChain xmlns="http://schemas.openxmlformats.org/spreadsheetml/2006/main">
  <c r="W29" i="1"/>
  <c r="U29"/>
  <c r="W28"/>
  <c r="U28"/>
  <c r="K28"/>
  <c r="W27"/>
  <c r="U27"/>
  <c r="K27"/>
  <c r="W26"/>
  <c r="U26"/>
  <c r="K26"/>
  <c r="W25"/>
  <c r="U25"/>
  <c r="K25"/>
  <c r="W24"/>
  <c r="U24"/>
  <c r="W23"/>
  <c r="U23"/>
  <c r="K23"/>
  <c r="W22"/>
  <c r="U22"/>
  <c r="W21"/>
  <c r="U21"/>
  <c r="W20"/>
  <c r="U20"/>
  <c r="K20"/>
  <c r="W19"/>
  <c r="U19"/>
  <c r="W18"/>
  <c r="U18"/>
  <c r="W17"/>
  <c r="U17"/>
  <c r="W16"/>
  <c r="U16"/>
  <c r="W15"/>
  <c r="U15"/>
  <c r="W14"/>
  <c r="U14"/>
  <c r="W13"/>
  <c r="U13"/>
  <c r="W12"/>
  <c r="U12"/>
  <c r="W11"/>
  <c r="U11"/>
  <c r="K11"/>
  <c r="W10"/>
  <c r="U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W9"/>
  <c r="U9"/>
  <c r="J30"/>
  <c r="J34"/>
  <c r="G30"/>
  <c r="F30"/>
  <c r="E30"/>
  <c r="D30"/>
  <c r="B8"/>
  <c r="C8" s="1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H30" l="1"/>
  <c r="M11"/>
  <c r="M20"/>
  <c r="M23"/>
  <c r="M25"/>
  <c r="M27"/>
  <c r="N28"/>
  <c r="N26"/>
  <c r="N18"/>
  <c r="N29"/>
  <c r="N27"/>
  <c r="N25"/>
  <c r="N24"/>
  <c r="N23"/>
  <c r="N21"/>
  <c r="N20"/>
  <c r="N17"/>
  <c r="N16"/>
  <c r="N15"/>
  <c r="N14"/>
  <c r="N13"/>
  <c r="N12"/>
  <c r="N11"/>
  <c r="N10"/>
  <c r="N9"/>
  <c r="M26"/>
  <c r="M28"/>
  <c r="E32"/>
  <c r="G32"/>
  <c r="D33"/>
  <c r="F33"/>
  <c r="J33"/>
  <c r="E34"/>
  <c r="G34"/>
  <c r="K9"/>
  <c r="D32"/>
  <c r="F32"/>
  <c r="J32"/>
  <c r="E33"/>
  <c r="G33"/>
  <c r="D34"/>
  <c r="F34"/>
  <c r="E37"/>
  <c r="J37" s="1"/>
  <c r="K12" s="1"/>
  <c r="P10" l="1"/>
  <c r="P12"/>
  <c r="P14"/>
  <c r="P16"/>
  <c r="P21"/>
  <c r="P23"/>
  <c r="S23" s="1"/>
  <c r="Z23" s="1"/>
  <c r="P25"/>
  <c r="S25" s="1"/>
  <c r="Z25" s="1"/>
  <c r="P29"/>
  <c r="P26"/>
  <c r="S26" s="1"/>
  <c r="Z26" s="1"/>
  <c r="K18"/>
  <c r="R26"/>
  <c r="L37"/>
  <c r="N37" s="1"/>
  <c r="K24"/>
  <c r="K21"/>
  <c r="K17"/>
  <c r="K15"/>
  <c r="K13"/>
  <c r="K10"/>
  <c r="P9"/>
  <c r="P11"/>
  <c r="S11" s="1"/>
  <c r="Z11" s="1"/>
  <c r="P13"/>
  <c r="P15"/>
  <c r="P17"/>
  <c r="P20"/>
  <c r="S20" s="1"/>
  <c r="Z20" s="1"/>
  <c r="P24"/>
  <c r="P27"/>
  <c r="S27" s="1"/>
  <c r="Z27" s="1"/>
  <c r="P18"/>
  <c r="P28"/>
  <c r="S28" s="1"/>
  <c r="Z28" s="1"/>
  <c r="K29"/>
  <c r="K22"/>
  <c r="K19"/>
  <c r="K16"/>
  <c r="K14"/>
  <c r="R27"/>
  <c r="R25"/>
  <c r="R23"/>
  <c r="R20"/>
  <c r="R11"/>
  <c r="R12" l="1"/>
  <c r="Y11"/>
  <c r="X11" s="1"/>
  <c r="Q11"/>
  <c r="Y23"/>
  <c r="X23" s="1"/>
  <c r="Q23"/>
  <c r="Y27"/>
  <c r="X27" s="1"/>
  <c r="Q27"/>
  <c r="R16"/>
  <c r="M22"/>
  <c r="R10"/>
  <c r="R15"/>
  <c r="R21"/>
  <c r="N22"/>
  <c r="N19"/>
  <c r="R9"/>
  <c r="Y12"/>
  <c r="R28"/>
  <c r="Y20"/>
  <c r="X20" s="1"/>
  <c r="Q20"/>
  <c r="Y25"/>
  <c r="X25" s="1"/>
  <c r="Q25"/>
  <c r="R14"/>
  <c r="M19"/>
  <c r="R29"/>
  <c r="R13"/>
  <c r="R17"/>
  <c r="R24"/>
  <c r="Y26"/>
  <c r="X26" s="1"/>
  <c r="Q26"/>
  <c r="R18"/>
  <c r="M9"/>
  <c r="M12"/>
  <c r="S12" s="1"/>
  <c r="Z12" s="1"/>
  <c r="M18" l="1"/>
  <c r="S18" s="1"/>
  <c r="Z18" s="1"/>
  <c r="AA26"/>
  <c r="M16"/>
  <c r="S16" s="1"/>
  <c r="Z16" s="1"/>
  <c r="Y18"/>
  <c r="Q18"/>
  <c r="P22"/>
  <c r="S22" s="1"/>
  <c r="Z22" s="1"/>
  <c r="M24"/>
  <c r="S24" s="1"/>
  <c r="Z24" s="1"/>
  <c r="M17"/>
  <c r="S17" s="1"/>
  <c r="Z17" s="1"/>
  <c r="M13"/>
  <c r="S13" s="1"/>
  <c r="Z13" s="1"/>
  <c r="M29"/>
  <c r="S29" s="1"/>
  <c r="Z29" s="1"/>
  <c r="M14"/>
  <c r="S14" s="1"/>
  <c r="Z14" s="1"/>
  <c r="X12"/>
  <c r="L30"/>
  <c r="M21"/>
  <c r="S21" s="1"/>
  <c r="Z21" s="1"/>
  <c r="M15"/>
  <c r="S15" s="1"/>
  <c r="Z15" s="1"/>
  <c r="M10"/>
  <c r="S10" s="1"/>
  <c r="Z10" s="1"/>
  <c r="S9"/>
  <c r="Y24"/>
  <c r="X24" s="1"/>
  <c r="Q24"/>
  <c r="Y17"/>
  <c r="X17" s="1"/>
  <c r="Q17"/>
  <c r="Y13"/>
  <c r="X13" s="1"/>
  <c r="Q13"/>
  <c r="Y29"/>
  <c r="X29" s="1"/>
  <c r="Q29"/>
  <c r="Y14"/>
  <c r="X14" s="1"/>
  <c r="Q14"/>
  <c r="Y28"/>
  <c r="X28" s="1"/>
  <c r="Q28"/>
  <c r="Y9"/>
  <c r="Q9"/>
  <c r="O30"/>
  <c r="Y21"/>
  <c r="X21" s="1"/>
  <c r="Q21"/>
  <c r="Y15"/>
  <c r="X15" s="1"/>
  <c r="Q15"/>
  <c r="Y10"/>
  <c r="X10" s="1"/>
  <c r="Q10"/>
  <c r="Y16"/>
  <c r="X16" s="1"/>
  <c r="Q16"/>
  <c r="R19"/>
  <c r="AA25"/>
  <c r="AA20"/>
  <c r="Q12"/>
  <c r="AA12" s="1"/>
  <c r="R22"/>
  <c r="AA27"/>
  <c r="AA23"/>
  <c r="AA11"/>
  <c r="R30" l="1"/>
  <c r="AA16"/>
  <c r="AA10"/>
  <c r="AA15"/>
  <c r="AA21"/>
  <c r="P19"/>
  <c r="X18"/>
  <c r="Z9"/>
  <c r="P30"/>
  <c r="N30" s="1"/>
  <c r="Y22"/>
  <c r="X22" s="1"/>
  <c r="Q22"/>
  <c r="Y19"/>
  <c r="Y30" s="1"/>
  <c r="X9"/>
  <c r="AA9" s="1"/>
  <c r="AA28"/>
  <c r="AA14"/>
  <c r="AA29"/>
  <c r="AA13"/>
  <c r="AA17"/>
  <c r="AA24"/>
  <c r="M30"/>
  <c r="K30" s="1"/>
  <c r="AA18"/>
  <c r="S19"/>
  <c r="Z19" s="1"/>
  <c r="X19" l="1"/>
  <c r="Z30"/>
  <c r="X30" s="1"/>
  <c r="X31" s="1"/>
  <c r="Q19"/>
  <c r="AA19" s="1"/>
  <c r="AA22"/>
  <c r="S30"/>
  <c r="Q30" s="1"/>
</calcChain>
</file>

<file path=xl/sharedStrings.xml><?xml version="1.0" encoding="utf-8"?>
<sst xmlns="http://schemas.openxmlformats.org/spreadsheetml/2006/main" count="108" uniqueCount="86">
  <si>
    <t xml:space="preserve">РАСЧЕТ
размера стимулирующих выплат с учетом показателей результативности деятельности медицинских организаций </t>
  </si>
  <si>
    <t>за декабрь 2022 года - август 2023 года</t>
  </si>
  <si>
    <t>№ п/п</t>
  </si>
  <si>
    <t>Наименование медицинской организации</t>
  </si>
  <si>
    <t>Код МО</t>
  </si>
  <si>
    <t>Оценка по баллам</t>
  </si>
  <si>
    <t>Среднемесячная численность прикрепленного населения за отчетный период</t>
  </si>
  <si>
    <r>
      <t xml:space="preserve">Размер стимулирующих выплат медицинским организациям </t>
    </r>
    <r>
      <rPr>
        <b/>
        <sz val="16"/>
        <color theme="1"/>
        <rFont val="Cambria"/>
        <family val="1"/>
        <charset val="204"/>
        <scheme val="major"/>
      </rPr>
      <t xml:space="preserve">II и III групп </t>
    </r>
    <r>
      <rPr>
        <sz val="16"/>
        <color theme="1"/>
        <rFont val="Cambria"/>
        <family val="1"/>
        <charset val="204"/>
        <scheme val="major"/>
      </rPr>
      <t xml:space="preserve">за отчетный период при распределении </t>
    </r>
    <r>
      <rPr>
        <b/>
        <sz val="16"/>
        <color theme="1"/>
        <rFont val="Cambria"/>
        <family val="1"/>
        <charset val="204"/>
        <scheme val="major"/>
      </rPr>
      <t xml:space="preserve">70% </t>
    </r>
    <r>
      <rPr>
        <sz val="16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</si>
  <si>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 xml:space="preserve">Размер стимулирующих выплат медицинским организациям </t>
    </r>
    <r>
      <rPr>
        <b/>
        <sz val="16"/>
        <color theme="1"/>
        <rFont val="Cambria"/>
        <family val="1"/>
        <charset val="204"/>
        <scheme val="major"/>
      </rPr>
      <t>III группы</t>
    </r>
    <r>
      <rPr>
        <sz val="16"/>
        <color theme="1"/>
        <rFont val="Cambria"/>
        <family val="1"/>
        <charset val="204"/>
        <scheme val="major"/>
      </rPr>
      <t xml:space="preserve"> за отчетный период при распределении </t>
    </r>
    <r>
      <rPr>
        <b/>
        <sz val="16"/>
        <color theme="1"/>
        <rFont val="Cambria"/>
        <family val="1"/>
        <charset val="204"/>
        <scheme val="major"/>
      </rPr>
      <t xml:space="preserve">30% </t>
    </r>
    <r>
      <rPr>
        <sz val="16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</si>
  <si>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>Размер стимулирующих выплат медицинским организациям (</t>
    </r>
    <r>
      <rPr>
        <b/>
        <sz val="16"/>
        <color theme="1"/>
        <rFont val="Cambria"/>
        <family val="1"/>
        <charset val="204"/>
        <scheme val="major"/>
      </rPr>
      <t xml:space="preserve">II группа  +  III группа) за отчетный период  с учетом показателей результативности, </t>
    </r>
    <r>
      <rPr>
        <sz val="16"/>
        <color theme="1"/>
        <rFont val="Cambria"/>
        <family val="1"/>
        <charset val="204"/>
        <scheme val="major"/>
      </rPr>
      <t xml:space="preserve"> рублей</t>
    </r>
  </si>
  <si>
    <t>Выполнение плана посещений с проф и иными целями и обращений по заболеванию, %</t>
  </si>
  <si>
    <r>
      <rPr>
        <b/>
        <sz val="16"/>
        <color theme="1"/>
        <rFont val="Cambria"/>
        <family val="1"/>
        <charset val="204"/>
        <scheme val="major"/>
      </rPr>
      <t xml:space="preserve">Коэффициент </t>
    </r>
    <r>
      <rPr>
        <sz val="16"/>
        <color theme="1"/>
        <rFont val="Cambria"/>
        <family val="1"/>
        <charset val="204"/>
        <scheme val="major"/>
      </rPr>
      <t>с учетом выполнения плана посещений с проф и иными целями и обращений по заболеванию (Коэф.об.)</t>
    </r>
  </si>
  <si>
    <t>Показатель смертности, "-" снижение, "+" увеличение, %</t>
  </si>
  <si>
    <t>Коэффициент с учетом выполнения показателя смертности (К см.)</t>
  </si>
  <si>
    <t>Размер стимулирующих выплат с учетом показателей результативности деятельности медицинских организаций и выполнения показателей по объемам медицинской помощи и по смертности прикрепленного населения, рублей</t>
  </si>
  <si>
    <t>Отклонение: гр.17 - гр.24, рублей</t>
  </si>
  <si>
    <t xml:space="preserve">Коментарий к размеру начисленных стимулирующих  выплат </t>
  </si>
  <si>
    <t>Максимальная сумма баллов</t>
  </si>
  <si>
    <t>Фактическая сумма баллов</t>
  </si>
  <si>
    <t>Максимальное количество показателей</t>
  </si>
  <si>
    <t>Фактически выполнено показателей</t>
  </si>
  <si>
    <t>Выполнение показателей, %</t>
  </si>
  <si>
    <t>Группа</t>
  </si>
  <si>
    <t>Всего</t>
  </si>
  <si>
    <t>СОГАЗ</t>
  </si>
  <si>
    <t>АЛЬФА</t>
  </si>
  <si>
    <t>ГОБУЗ "МОКБ"</t>
  </si>
  <si>
    <t>041</t>
  </si>
  <si>
    <t xml:space="preserve">1 группа  </t>
  </si>
  <si>
    <t>ГОБУЗ "Апатитско-Кировская ЦГБ"</t>
  </si>
  <si>
    <t>007</t>
  </si>
  <si>
    <t>2 группа  К об. = 0,90  К см. = 1,00</t>
  </si>
  <si>
    <t>ГОБУЗ "Кандалакшская ЦРБ"</t>
  </si>
  <si>
    <t>009</t>
  </si>
  <si>
    <t xml:space="preserve">1 группа </t>
  </si>
  <si>
    <t>ГОБУЗ "Кольская ЦРБ"</t>
  </si>
  <si>
    <t>013</t>
  </si>
  <si>
    <t>2 группа  К об. = 1,00  К см. = 1,00</t>
  </si>
  <si>
    <t>ГОБУЗ "Ловозерская ЦРБ"</t>
  </si>
  <si>
    <t>014</t>
  </si>
  <si>
    <t>ГОАУЗ "Мончегорская ЦРБ"</t>
  </si>
  <si>
    <t>045</t>
  </si>
  <si>
    <t>ГОБУЗ "Оленегорская ЦГБ"</t>
  </si>
  <si>
    <t>046</t>
  </si>
  <si>
    <t>2 группа  К об. = 1,00  К см. = 0,90</t>
  </si>
  <si>
    <t>ГОБУЗ "Печенгская ЦРБ"</t>
  </si>
  <si>
    <t>010</t>
  </si>
  <si>
    <t>2 группа  К об. = 0,75  К см. = 0,00</t>
  </si>
  <si>
    <t>ГОБУЗ "ЦРБ ЗАТО г.Североморск"</t>
  </si>
  <si>
    <t>008</t>
  </si>
  <si>
    <t>ГОБУЗ "МГП № 1"</t>
  </si>
  <si>
    <t>101</t>
  </si>
  <si>
    <t>ГОБУЗ "МГП № 2"</t>
  </si>
  <si>
    <t>102</t>
  </si>
  <si>
    <t>3 группа  К об. = 1,00  К см. = 1,00</t>
  </si>
  <si>
    <t>ГОБУЗ "ДП № 1"</t>
  </si>
  <si>
    <t>098</t>
  </si>
  <si>
    <t>1 группа</t>
  </si>
  <si>
    <t>ГОБУЗ "ДП № 4"</t>
  </si>
  <si>
    <t>109</t>
  </si>
  <si>
    <t>ГОБУЗ "ДП № 5"</t>
  </si>
  <si>
    <t>152</t>
  </si>
  <si>
    <t>3 группа  К об. = 1,00  К см. = 0,00</t>
  </si>
  <si>
    <t>ФГБУЗ "ММЦ" ФМБА</t>
  </si>
  <si>
    <t>030</t>
  </si>
  <si>
    <t>ФГБУЗ "МСЧ № 118" ФМБА</t>
  </si>
  <si>
    <t>037</t>
  </si>
  <si>
    <t>ФГБУЗ "ЦМСЧ № 120" ФМБА</t>
  </si>
  <si>
    <t>038</t>
  </si>
  <si>
    <t>ФГБУН "КНЦ РАН"</t>
  </si>
  <si>
    <t>050</t>
  </si>
  <si>
    <t>ФКУЗ "МСЧ МВД"</t>
  </si>
  <si>
    <t>168</t>
  </si>
  <si>
    <t>ЧУЗ "ПК РЖД" г.Мурманск</t>
  </si>
  <si>
    <t>051</t>
  </si>
  <si>
    <t>ЧУЗ "РЖД-Медицина" г.Кандалакша</t>
  </si>
  <si>
    <t>052</t>
  </si>
  <si>
    <t>ИТОГО</t>
  </si>
  <si>
    <t>Нераспределенная сумма, рублей</t>
  </si>
  <si>
    <t>2 группа</t>
  </si>
  <si>
    <t>3 группа</t>
  </si>
  <si>
    <t>Cовокупный объем средств на стимулирование медицинских организаций, рублей</t>
  </si>
  <si>
    <t>Объем средств, используемый при распределении 70% от объема средств на стимулирование медицинских организаций (II и III группы), рублей</t>
  </si>
  <si>
    <r>
      <t xml:space="preserve">Объем средств, используемый при распределении 70% от утвержденной суммы на стимулирование медицинских организаций, </t>
    </r>
    <r>
      <rPr>
        <b/>
        <sz val="16"/>
        <color theme="1"/>
        <rFont val="Cambria"/>
        <family val="1"/>
        <charset val="204"/>
        <scheme val="major"/>
      </rPr>
      <t xml:space="preserve">в расчете на 1 прикрепленное лицо </t>
    </r>
    <r>
      <rPr>
        <sz val="16"/>
        <color theme="1"/>
        <rFont val="Cambria"/>
        <family val="1"/>
        <charset val="204"/>
        <scheme val="major"/>
      </rPr>
      <t>(II и III группы), рублей</t>
    </r>
  </si>
  <si>
    <t>Объем средств, используемый при распределении 30% от объема средств на стимулирование медицинских организаций (3 группа), рублей</t>
  </si>
  <si>
    <r>
      <t xml:space="preserve">Объем средств, используемый при распределении 30% от объема средств на стимулирование медицинских организаций, </t>
    </r>
    <r>
      <rPr>
        <b/>
        <sz val="16"/>
        <color theme="1"/>
        <rFont val="Cambria"/>
        <family val="1"/>
        <charset val="204"/>
        <scheme val="major"/>
      </rPr>
      <t>в расчете на 1 балл</t>
    </r>
    <r>
      <rPr>
        <sz val="16"/>
        <color theme="1"/>
        <rFont val="Cambria"/>
        <family val="1"/>
        <charset val="204"/>
        <scheme val="major"/>
      </rPr>
      <t xml:space="preserve"> (3 группа), рублей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</si>
</sst>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0"/>
    <numFmt numFmtId="166" formatCode="#,##0.000"/>
  </numFmts>
  <fonts count="12">
    <font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i/>
      <sz val="16"/>
      <color theme="1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2" xfId="0" applyFont="1" applyBorder="1"/>
    <xf numFmtId="0" fontId="9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3" fontId="1" fillId="0" borderId="6" xfId="0" applyNumberFormat="1" applyFont="1" applyBorder="1"/>
    <xf numFmtId="4" fontId="5" fillId="0" borderId="0" xfId="0" applyNumberFormat="1" applyFont="1"/>
    <xf numFmtId="0" fontId="10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3" fontId="1" fillId="0" borderId="2" xfId="0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14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AE37"/>
  <sheetViews>
    <sheetView tabSelected="1" zoomScale="40" zoomScaleNormal="40" workbookViewId="0">
      <pane xSplit="9" ySplit="8" topLeftCell="J25" activePane="bottomRight" state="frozen"/>
      <selection pane="topRight" activeCell="J1" sqref="J1"/>
      <selection pane="bottomLeft" activeCell="A9" sqref="A9"/>
      <selection pane="bottomRight" activeCell="A2" sqref="A2:AB37"/>
    </sheetView>
  </sheetViews>
  <sheetFormatPr defaultColWidth="9.140625" defaultRowHeight="14.25"/>
  <cols>
    <col min="1" max="1" width="5.85546875" style="2" customWidth="1"/>
    <col min="2" max="2" width="60.7109375" style="2" customWidth="1"/>
    <col min="3" max="3" width="9.7109375" style="2" customWidth="1"/>
    <col min="4" max="4" width="24.85546875" style="2" customWidth="1"/>
    <col min="5" max="5" width="22.85546875" style="2" customWidth="1"/>
    <col min="6" max="6" width="24.7109375" style="2" customWidth="1"/>
    <col min="7" max="7" width="20.5703125" style="2" customWidth="1"/>
    <col min="8" max="8" width="20.85546875" style="2" customWidth="1"/>
    <col min="9" max="9" width="13.42578125" style="2" customWidth="1"/>
    <col min="10" max="10" width="29" style="2" customWidth="1"/>
    <col min="11" max="11" width="40.28515625" style="2" customWidth="1"/>
    <col min="12" max="12" width="28.85546875" style="2" customWidth="1"/>
    <col min="13" max="13" width="27.42578125" style="2" customWidth="1"/>
    <col min="14" max="14" width="33.5703125" style="2" customWidth="1"/>
    <col min="15" max="15" width="32.85546875" style="2" customWidth="1"/>
    <col min="16" max="16" width="30.28515625" style="2" customWidth="1"/>
    <col min="17" max="17" width="31.42578125" style="2" customWidth="1"/>
    <col min="18" max="18" width="24.28515625" style="2" customWidth="1"/>
    <col min="19" max="19" width="24.85546875" style="2" customWidth="1"/>
    <col min="20" max="20" width="23.140625" style="2" customWidth="1"/>
    <col min="21" max="22" width="25.5703125" style="2" customWidth="1"/>
    <col min="23" max="23" width="22.28515625" style="2" customWidth="1"/>
    <col min="24" max="24" width="25.85546875" style="2" customWidth="1"/>
    <col min="25" max="25" width="27.42578125" style="2" customWidth="1"/>
    <col min="26" max="26" width="27.85546875" style="2" customWidth="1"/>
    <col min="27" max="27" width="22" style="2" customWidth="1"/>
    <col min="28" max="28" width="55.7109375" style="2" customWidth="1"/>
    <col min="29" max="29" width="17.7109375" style="2" customWidth="1"/>
    <col min="30" max="30" width="16.28515625" style="2" customWidth="1"/>
    <col min="31" max="31" width="15.140625" style="2" customWidth="1"/>
    <col min="32" max="16384" width="9.140625" style="2"/>
  </cols>
  <sheetData>
    <row r="1" spans="1:3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64.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1" ht="49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4"/>
      <c r="O3" s="4"/>
      <c r="P3" s="4"/>
      <c r="Q3" s="4"/>
      <c r="R3" s="4"/>
      <c r="S3" s="4"/>
      <c r="T3" s="4"/>
      <c r="U3" s="4"/>
      <c r="V3" s="4"/>
      <c r="W3" s="4"/>
      <c r="AA3" s="5"/>
    </row>
    <row r="4" spans="1:31" ht="19.5" customHeight="1"/>
    <row r="5" spans="1:31" s="6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6" customFormat="1" ht="133.5" customHeight="1">
      <c r="A6" s="63" t="s">
        <v>2</v>
      </c>
      <c r="B6" s="63" t="s">
        <v>3</v>
      </c>
      <c r="C6" s="65" t="s">
        <v>4</v>
      </c>
      <c r="D6" s="65" t="s">
        <v>5</v>
      </c>
      <c r="E6" s="65"/>
      <c r="F6" s="65"/>
      <c r="G6" s="65"/>
      <c r="H6" s="65"/>
      <c r="I6" s="65"/>
      <c r="J6" s="55" t="s">
        <v>6</v>
      </c>
      <c r="K6" s="58" t="s">
        <v>7</v>
      </c>
      <c r="L6" s="59"/>
      <c r="M6" s="60"/>
      <c r="N6" s="58" t="s">
        <v>8</v>
      </c>
      <c r="O6" s="59"/>
      <c r="P6" s="60"/>
      <c r="Q6" s="58" t="s">
        <v>9</v>
      </c>
      <c r="R6" s="59"/>
      <c r="S6" s="60"/>
      <c r="T6" s="55" t="s">
        <v>10</v>
      </c>
      <c r="U6" s="55" t="s">
        <v>11</v>
      </c>
      <c r="V6" s="55" t="s">
        <v>12</v>
      </c>
      <c r="W6" s="55" t="s">
        <v>13</v>
      </c>
      <c r="X6" s="52" t="s">
        <v>14</v>
      </c>
      <c r="Y6" s="53"/>
      <c r="Z6" s="54"/>
      <c r="AA6" s="55" t="s">
        <v>15</v>
      </c>
      <c r="AB6" s="56" t="s">
        <v>16</v>
      </c>
      <c r="AC6" s="2"/>
      <c r="AD6" s="2"/>
      <c r="AE6" s="2"/>
    </row>
    <row r="7" spans="1:31" s="6" customFormat="1" ht="156" customHeight="1">
      <c r="A7" s="64"/>
      <c r="B7" s="64"/>
      <c r="C7" s="65"/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8" t="s">
        <v>22</v>
      </c>
      <c r="J7" s="55"/>
      <c r="K7" s="8" t="s">
        <v>23</v>
      </c>
      <c r="L7" s="8" t="s">
        <v>24</v>
      </c>
      <c r="M7" s="8" t="s">
        <v>25</v>
      </c>
      <c r="N7" s="8" t="s">
        <v>23</v>
      </c>
      <c r="O7" s="8" t="s">
        <v>24</v>
      </c>
      <c r="P7" s="8" t="s">
        <v>25</v>
      </c>
      <c r="Q7" s="8" t="s">
        <v>23</v>
      </c>
      <c r="R7" s="8" t="s">
        <v>24</v>
      </c>
      <c r="S7" s="8" t="s">
        <v>25</v>
      </c>
      <c r="T7" s="55"/>
      <c r="U7" s="55"/>
      <c r="V7" s="55"/>
      <c r="W7" s="55"/>
      <c r="X7" s="8" t="s">
        <v>23</v>
      </c>
      <c r="Y7" s="8" t="s">
        <v>24</v>
      </c>
      <c r="Z7" s="8" t="s">
        <v>25</v>
      </c>
      <c r="AA7" s="55"/>
      <c r="AB7" s="57"/>
      <c r="AC7" s="2"/>
      <c r="AD7" s="2"/>
      <c r="AE7" s="2"/>
    </row>
    <row r="8" spans="1:31" s="11" customFormat="1" ht="39.75" customHeight="1">
      <c r="A8" s="9">
        <v>1</v>
      </c>
      <c r="B8" s="9">
        <f>A8+1</f>
        <v>2</v>
      </c>
      <c r="C8" s="9">
        <f t="shared" ref="C8:Z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8">
        <v>27</v>
      </c>
      <c r="AB8" s="8">
        <v>28</v>
      </c>
      <c r="AC8" s="10"/>
      <c r="AD8" s="10"/>
      <c r="AE8" s="10"/>
    </row>
    <row r="9" spans="1:31" s="22" customFormat="1" ht="24.95" customHeight="1">
      <c r="A9" s="12">
        <v>1</v>
      </c>
      <c r="B9" s="13" t="s">
        <v>26</v>
      </c>
      <c r="C9" s="14" t="s">
        <v>27</v>
      </c>
      <c r="D9" s="15">
        <v>21</v>
      </c>
      <c r="E9" s="16">
        <v>3</v>
      </c>
      <c r="F9" s="15">
        <v>16</v>
      </c>
      <c r="G9" s="15">
        <v>3</v>
      </c>
      <c r="H9" s="15">
        <v>18.75</v>
      </c>
      <c r="I9" s="15">
        <v>1</v>
      </c>
      <c r="J9" s="15">
        <v>1570</v>
      </c>
      <c r="K9" s="17">
        <f>ROUND(IF(OR(I9=2,I9=3),$J$37*J9,0),2)</f>
        <v>0</v>
      </c>
      <c r="L9" s="17">
        <v>0</v>
      </c>
      <c r="M9" s="17">
        <f>K9-L9</f>
        <v>0</v>
      </c>
      <c r="N9" s="17">
        <f>ROUND(IF(AND($J$34=0,I9=2),$L$37/$J$33*J9,IF(AND($J$34&gt;0,I9=3),$N$37*E9,0)),2)</f>
        <v>0</v>
      </c>
      <c r="O9" s="17">
        <v>0</v>
      </c>
      <c r="P9" s="17">
        <f>N9-O9</f>
        <v>0</v>
      </c>
      <c r="Q9" s="17">
        <f>R9+S9</f>
        <v>0</v>
      </c>
      <c r="R9" s="17">
        <f>L9+O9</f>
        <v>0</v>
      </c>
      <c r="S9" s="17">
        <f>M9+P9</f>
        <v>0</v>
      </c>
      <c r="T9" s="15">
        <v>156</v>
      </c>
      <c r="U9" s="18">
        <f t="shared" ref="U9:U29" si="1">IF(T9&gt;=90,1,IF(AND(T9&gt;=70,T9&lt;=89),0.9,IF(AND(T9&gt;=60,T9&lt;=69),0.75,IF(AND(T9&gt;=50,T9&lt;=59),0.5,IF(T9&lt;50,0)))))</f>
        <v>1</v>
      </c>
      <c r="V9" s="19">
        <v>-12</v>
      </c>
      <c r="W9" s="18">
        <f t="shared" ref="W9:W29" si="2">IF(V9&lt;0,1,IF(AND(V9&gt;=0,V9&lt;=5),0.95,IF(AND(V9&gt;=6,V9&lt;=10),0.9,IF(AND(V9&gt;=11,V9&lt;=20),0.8,IF(V9&gt;=21,0)))))</f>
        <v>1</v>
      </c>
      <c r="X9" s="18">
        <f>Y9+Z9</f>
        <v>0</v>
      </c>
      <c r="Y9" s="18">
        <f>ROUND(R9*U9*W9,2)</f>
        <v>0</v>
      </c>
      <c r="Z9" s="18">
        <f>ROUND(S9*U9*W9,2)</f>
        <v>0</v>
      </c>
      <c r="AA9" s="20">
        <f>Q9-X9</f>
        <v>0</v>
      </c>
      <c r="AB9" s="21" t="s">
        <v>28</v>
      </c>
      <c r="AC9" s="2"/>
      <c r="AD9" s="2"/>
      <c r="AE9" s="2"/>
    </row>
    <row r="10" spans="1:31" s="22" customFormat="1" ht="24.95" customHeight="1">
      <c r="A10" s="12">
        <f>A9+1</f>
        <v>2</v>
      </c>
      <c r="B10" s="13" t="s">
        <v>29</v>
      </c>
      <c r="C10" s="14" t="s">
        <v>30</v>
      </c>
      <c r="D10" s="15">
        <v>32</v>
      </c>
      <c r="E10" s="16">
        <v>12</v>
      </c>
      <c r="F10" s="15">
        <v>25</v>
      </c>
      <c r="G10" s="15">
        <v>14</v>
      </c>
      <c r="H10" s="15">
        <v>56.000000000000007</v>
      </c>
      <c r="I10" s="15">
        <v>2</v>
      </c>
      <c r="J10" s="15">
        <v>75849</v>
      </c>
      <c r="K10" s="17">
        <f t="shared" ref="K10:K29" si="3">ROUND(IF(OR(I10=2,I10=3),$J$37*J10,0),2)</f>
        <v>2753235.45</v>
      </c>
      <c r="L10" s="17">
        <v>1662017.85</v>
      </c>
      <c r="M10" s="17">
        <f t="shared" ref="M10:M29" si="4">K10-L10</f>
        <v>1091217.6000000001</v>
      </c>
      <c r="N10" s="17">
        <f t="shared" ref="N10:N29" si="5">ROUND(IF(AND($J$34=0,I10=2),$L$37/$J$33*J10,IF(AND($J$34&gt;0,I10=3),$N$37*E10,0)),2)</f>
        <v>0</v>
      </c>
      <c r="O10" s="17">
        <v>0</v>
      </c>
      <c r="P10" s="17">
        <f t="shared" ref="P10:P29" si="6">N10-O10</f>
        <v>0</v>
      </c>
      <c r="Q10" s="17">
        <f t="shared" ref="Q10:Q30" si="7">R10+S10</f>
        <v>2753235.45</v>
      </c>
      <c r="R10" s="17">
        <f t="shared" ref="R10:S29" si="8">L10+O10</f>
        <v>1662017.85</v>
      </c>
      <c r="S10" s="17">
        <f t="shared" si="8"/>
        <v>1091217.6000000001</v>
      </c>
      <c r="T10" s="15">
        <v>86</v>
      </c>
      <c r="U10" s="18">
        <f t="shared" si="1"/>
        <v>0.9</v>
      </c>
      <c r="V10" s="19">
        <v>-2</v>
      </c>
      <c r="W10" s="18">
        <f t="shared" si="2"/>
        <v>1</v>
      </c>
      <c r="X10" s="18">
        <f t="shared" ref="X10:X29" si="9">Y10+Z10</f>
        <v>2477911.91</v>
      </c>
      <c r="Y10" s="18">
        <f t="shared" ref="Y10:Y29" si="10">ROUND(R10*U10*W10,2)</f>
        <v>1495816.07</v>
      </c>
      <c r="Z10" s="18">
        <f t="shared" ref="Z10:Z29" si="11">ROUND(S10*U10*W10,2)</f>
        <v>982095.84</v>
      </c>
      <c r="AA10" s="20">
        <f t="shared" ref="AA10:AA29" si="12">Q10-X10</f>
        <v>275323.54000000004</v>
      </c>
      <c r="AB10" s="23" t="s">
        <v>31</v>
      </c>
      <c r="AC10" s="2"/>
      <c r="AD10" s="2"/>
      <c r="AE10" s="2"/>
    </row>
    <row r="11" spans="1:31" s="22" customFormat="1" ht="24.95" customHeight="1">
      <c r="A11" s="12">
        <f t="shared" ref="A11:A29" si="13">A10+1</f>
        <v>3</v>
      </c>
      <c r="B11" s="13" t="s">
        <v>32</v>
      </c>
      <c r="C11" s="14" t="s">
        <v>33</v>
      </c>
      <c r="D11" s="15">
        <v>32</v>
      </c>
      <c r="E11" s="16">
        <v>4.5</v>
      </c>
      <c r="F11" s="15">
        <v>25</v>
      </c>
      <c r="G11" s="15">
        <v>6</v>
      </c>
      <c r="H11" s="15">
        <v>24</v>
      </c>
      <c r="I11" s="15">
        <v>1</v>
      </c>
      <c r="J11" s="15">
        <v>40469</v>
      </c>
      <c r="K11" s="17">
        <f t="shared" si="3"/>
        <v>0</v>
      </c>
      <c r="L11" s="17">
        <v>0</v>
      </c>
      <c r="M11" s="17">
        <f t="shared" si="4"/>
        <v>0</v>
      </c>
      <c r="N11" s="17">
        <f t="shared" si="5"/>
        <v>0</v>
      </c>
      <c r="O11" s="17"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8"/>
        <v>0</v>
      </c>
      <c r="T11" s="15">
        <v>73</v>
      </c>
      <c r="U11" s="18">
        <f t="shared" si="1"/>
        <v>0.9</v>
      </c>
      <c r="V11" s="19">
        <v>8</v>
      </c>
      <c r="W11" s="18">
        <f t="shared" si="2"/>
        <v>0.9</v>
      </c>
      <c r="X11" s="18">
        <f t="shared" si="9"/>
        <v>0</v>
      </c>
      <c r="Y11" s="18">
        <f t="shared" si="10"/>
        <v>0</v>
      </c>
      <c r="Z11" s="18">
        <f t="shared" si="11"/>
        <v>0</v>
      </c>
      <c r="AA11" s="20">
        <f t="shared" si="12"/>
        <v>0</v>
      </c>
      <c r="AB11" s="21" t="s">
        <v>34</v>
      </c>
      <c r="AC11" s="2"/>
      <c r="AD11" s="2"/>
      <c r="AE11" s="2"/>
    </row>
    <row r="12" spans="1:31" s="22" customFormat="1" ht="24.95" customHeight="1">
      <c r="A12" s="12">
        <f t="shared" si="13"/>
        <v>4</v>
      </c>
      <c r="B12" s="13" t="s">
        <v>35</v>
      </c>
      <c r="C12" s="14" t="s">
        <v>36</v>
      </c>
      <c r="D12" s="15">
        <v>32</v>
      </c>
      <c r="E12" s="16">
        <v>10</v>
      </c>
      <c r="F12" s="15">
        <v>25</v>
      </c>
      <c r="G12" s="15">
        <v>12</v>
      </c>
      <c r="H12" s="15">
        <v>48</v>
      </c>
      <c r="I12" s="15">
        <v>2</v>
      </c>
      <c r="J12" s="15">
        <v>41689</v>
      </c>
      <c r="K12" s="17">
        <f t="shared" si="3"/>
        <v>1513264.94</v>
      </c>
      <c r="L12" s="17">
        <v>1279209.6200000001</v>
      </c>
      <c r="M12" s="17">
        <f t="shared" si="4"/>
        <v>234055.31999999983</v>
      </c>
      <c r="N12" s="17">
        <f t="shared" si="5"/>
        <v>0</v>
      </c>
      <c r="O12" s="17">
        <v>0</v>
      </c>
      <c r="P12" s="17">
        <f t="shared" si="6"/>
        <v>0</v>
      </c>
      <c r="Q12" s="17">
        <f t="shared" si="7"/>
        <v>1513264.94</v>
      </c>
      <c r="R12" s="17">
        <f t="shared" si="8"/>
        <v>1279209.6200000001</v>
      </c>
      <c r="S12" s="17">
        <f t="shared" si="8"/>
        <v>234055.31999999983</v>
      </c>
      <c r="T12" s="15">
        <v>104</v>
      </c>
      <c r="U12" s="18">
        <f t="shared" si="1"/>
        <v>1</v>
      </c>
      <c r="V12" s="19">
        <v>-4</v>
      </c>
      <c r="W12" s="18">
        <f t="shared" si="2"/>
        <v>1</v>
      </c>
      <c r="X12" s="18">
        <f t="shared" si="9"/>
        <v>1513264.9400000002</v>
      </c>
      <c r="Y12" s="18">
        <f t="shared" si="10"/>
        <v>1279209.6200000001</v>
      </c>
      <c r="Z12" s="18">
        <f t="shared" si="11"/>
        <v>234055.32</v>
      </c>
      <c r="AA12" s="20">
        <f t="shared" si="12"/>
        <v>0</v>
      </c>
      <c r="AB12" s="23" t="s">
        <v>37</v>
      </c>
      <c r="AC12" s="2"/>
      <c r="AD12" s="2"/>
      <c r="AE12" s="2"/>
    </row>
    <row r="13" spans="1:31" s="22" customFormat="1" ht="24.95" customHeight="1">
      <c r="A13" s="12">
        <f t="shared" si="13"/>
        <v>5</v>
      </c>
      <c r="B13" s="13" t="s">
        <v>38</v>
      </c>
      <c r="C13" s="14" t="s">
        <v>39</v>
      </c>
      <c r="D13" s="15">
        <v>32</v>
      </c>
      <c r="E13" s="16">
        <v>14</v>
      </c>
      <c r="F13" s="15">
        <v>25</v>
      </c>
      <c r="G13" s="15">
        <v>12</v>
      </c>
      <c r="H13" s="15">
        <v>48</v>
      </c>
      <c r="I13" s="15">
        <v>2</v>
      </c>
      <c r="J13" s="15">
        <v>9036</v>
      </c>
      <c r="K13" s="17">
        <f t="shared" si="3"/>
        <v>327996.88</v>
      </c>
      <c r="L13" s="17">
        <v>27877.56</v>
      </c>
      <c r="M13" s="17">
        <f t="shared" si="4"/>
        <v>300119.32</v>
      </c>
      <c r="N13" s="17">
        <f t="shared" si="5"/>
        <v>0</v>
      </c>
      <c r="O13" s="17">
        <v>0</v>
      </c>
      <c r="P13" s="17">
        <f t="shared" si="6"/>
        <v>0</v>
      </c>
      <c r="Q13" s="17">
        <f t="shared" si="7"/>
        <v>327996.88</v>
      </c>
      <c r="R13" s="17">
        <f t="shared" si="8"/>
        <v>27877.56</v>
      </c>
      <c r="S13" s="17">
        <f t="shared" si="8"/>
        <v>300119.32</v>
      </c>
      <c r="T13" s="15">
        <v>91</v>
      </c>
      <c r="U13" s="18">
        <f t="shared" si="1"/>
        <v>1</v>
      </c>
      <c r="V13" s="19">
        <v>-10</v>
      </c>
      <c r="W13" s="18">
        <f t="shared" si="2"/>
        <v>1</v>
      </c>
      <c r="X13" s="18">
        <f t="shared" si="9"/>
        <v>327996.88</v>
      </c>
      <c r="Y13" s="18">
        <f t="shared" si="10"/>
        <v>27877.56</v>
      </c>
      <c r="Z13" s="18">
        <f t="shared" si="11"/>
        <v>300119.32</v>
      </c>
      <c r="AA13" s="20">
        <f t="shared" si="12"/>
        <v>0</v>
      </c>
      <c r="AB13" s="23" t="s">
        <v>37</v>
      </c>
      <c r="AC13" s="2"/>
      <c r="AD13" s="2"/>
      <c r="AE13" s="2"/>
    </row>
    <row r="14" spans="1:31" s="22" customFormat="1" ht="24.95" customHeight="1">
      <c r="A14" s="12">
        <f t="shared" si="13"/>
        <v>6</v>
      </c>
      <c r="B14" s="13" t="s">
        <v>40</v>
      </c>
      <c r="C14" s="14" t="s">
        <v>41</v>
      </c>
      <c r="D14" s="15">
        <v>32</v>
      </c>
      <c r="E14" s="16">
        <v>12.5</v>
      </c>
      <c r="F14" s="15">
        <v>25</v>
      </c>
      <c r="G14" s="15">
        <v>13</v>
      </c>
      <c r="H14" s="15">
        <v>52</v>
      </c>
      <c r="I14" s="15">
        <v>2</v>
      </c>
      <c r="J14" s="15">
        <v>58995</v>
      </c>
      <c r="K14" s="17">
        <f t="shared" si="3"/>
        <v>2141453.75</v>
      </c>
      <c r="L14" s="17">
        <v>616863.55000000005</v>
      </c>
      <c r="M14" s="17">
        <f t="shared" si="4"/>
        <v>1524590.2</v>
      </c>
      <c r="N14" s="17">
        <f t="shared" si="5"/>
        <v>0</v>
      </c>
      <c r="O14" s="17">
        <v>0</v>
      </c>
      <c r="P14" s="17">
        <f t="shared" si="6"/>
        <v>0</v>
      </c>
      <c r="Q14" s="17">
        <f t="shared" si="7"/>
        <v>2141453.75</v>
      </c>
      <c r="R14" s="17">
        <f t="shared" si="8"/>
        <v>616863.55000000005</v>
      </c>
      <c r="S14" s="17">
        <f t="shared" si="8"/>
        <v>1524590.2</v>
      </c>
      <c r="T14" s="15">
        <v>72</v>
      </c>
      <c r="U14" s="18">
        <f t="shared" si="1"/>
        <v>0.9</v>
      </c>
      <c r="V14" s="19">
        <v>-8</v>
      </c>
      <c r="W14" s="18">
        <f t="shared" si="2"/>
        <v>1</v>
      </c>
      <c r="X14" s="18">
        <f t="shared" si="9"/>
        <v>1927308.38</v>
      </c>
      <c r="Y14" s="18">
        <f t="shared" si="10"/>
        <v>555177.19999999995</v>
      </c>
      <c r="Z14" s="18">
        <f t="shared" si="11"/>
        <v>1372131.18</v>
      </c>
      <c r="AA14" s="20">
        <f t="shared" si="12"/>
        <v>214145.37000000011</v>
      </c>
      <c r="AB14" s="23" t="s">
        <v>31</v>
      </c>
      <c r="AC14" s="2"/>
      <c r="AD14" s="2"/>
      <c r="AE14" s="2"/>
    </row>
    <row r="15" spans="1:31" s="22" customFormat="1" ht="24.95" customHeight="1">
      <c r="A15" s="12">
        <f t="shared" si="13"/>
        <v>7</v>
      </c>
      <c r="B15" s="13" t="s">
        <v>42</v>
      </c>
      <c r="C15" s="14" t="s">
        <v>43</v>
      </c>
      <c r="D15" s="15">
        <v>32</v>
      </c>
      <c r="E15" s="16">
        <v>15</v>
      </c>
      <c r="F15" s="15">
        <v>25</v>
      </c>
      <c r="G15" s="15">
        <v>12</v>
      </c>
      <c r="H15" s="15">
        <v>48</v>
      </c>
      <c r="I15" s="15">
        <v>2</v>
      </c>
      <c r="J15" s="15">
        <v>24958</v>
      </c>
      <c r="K15" s="17">
        <f t="shared" si="3"/>
        <v>905948.01</v>
      </c>
      <c r="L15" s="17">
        <v>341790.47</v>
      </c>
      <c r="M15" s="17">
        <f t="shared" si="4"/>
        <v>564157.54</v>
      </c>
      <c r="N15" s="17">
        <f t="shared" si="5"/>
        <v>0</v>
      </c>
      <c r="O15" s="17">
        <v>0</v>
      </c>
      <c r="P15" s="17">
        <f t="shared" si="6"/>
        <v>0</v>
      </c>
      <c r="Q15" s="17">
        <f t="shared" si="7"/>
        <v>905948.01</v>
      </c>
      <c r="R15" s="17">
        <f t="shared" si="8"/>
        <v>341790.47</v>
      </c>
      <c r="S15" s="17">
        <f t="shared" si="8"/>
        <v>564157.54</v>
      </c>
      <c r="T15" s="15">
        <v>93</v>
      </c>
      <c r="U15" s="18">
        <f t="shared" si="1"/>
        <v>1</v>
      </c>
      <c r="V15" s="19">
        <v>10</v>
      </c>
      <c r="W15" s="18">
        <f t="shared" si="2"/>
        <v>0.9</v>
      </c>
      <c r="X15" s="18">
        <f t="shared" si="9"/>
        <v>815353.21</v>
      </c>
      <c r="Y15" s="18">
        <f t="shared" si="10"/>
        <v>307611.42</v>
      </c>
      <c r="Z15" s="18">
        <f t="shared" si="11"/>
        <v>507741.79</v>
      </c>
      <c r="AA15" s="20">
        <f t="shared" si="12"/>
        <v>90594.800000000047</v>
      </c>
      <c r="AB15" s="23" t="s">
        <v>44</v>
      </c>
      <c r="AC15" s="2"/>
      <c r="AD15" s="2"/>
      <c r="AE15" s="2"/>
    </row>
    <row r="16" spans="1:31" s="22" customFormat="1" ht="24.95" customHeight="1">
      <c r="A16" s="12">
        <f t="shared" si="13"/>
        <v>8</v>
      </c>
      <c r="B16" s="13" t="s">
        <v>45</v>
      </c>
      <c r="C16" s="14" t="s">
        <v>46</v>
      </c>
      <c r="D16" s="15">
        <v>32</v>
      </c>
      <c r="E16" s="16">
        <v>11.5</v>
      </c>
      <c r="F16" s="15">
        <v>25</v>
      </c>
      <c r="G16" s="15">
        <v>13</v>
      </c>
      <c r="H16" s="15">
        <v>52</v>
      </c>
      <c r="I16" s="15">
        <v>2</v>
      </c>
      <c r="J16" s="15">
        <v>29544</v>
      </c>
      <c r="K16" s="17">
        <f t="shared" si="3"/>
        <v>1072414.77</v>
      </c>
      <c r="L16" s="17">
        <v>1062505.17</v>
      </c>
      <c r="M16" s="17">
        <f t="shared" si="4"/>
        <v>9909.6000000000931</v>
      </c>
      <c r="N16" s="17">
        <f t="shared" si="5"/>
        <v>0</v>
      </c>
      <c r="O16" s="17">
        <v>0</v>
      </c>
      <c r="P16" s="17">
        <f t="shared" si="6"/>
        <v>0</v>
      </c>
      <c r="Q16" s="17">
        <f t="shared" si="7"/>
        <v>1072414.77</v>
      </c>
      <c r="R16" s="17">
        <f t="shared" si="8"/>
        <v>1062505.17</v>
      </c>
      <c r="S16" s="17">
        <f t="shared" si="8"/>
        <v>9909.6000000000931</v>
      </c>
      <c r="T16" s="15">
        <v>63</v>
      </c>
      <c r="U16" s="18">
        <f t="shared" si="1"/>
        <v>0.75</v>
      </c>
      <c r="V16" s="19">
        <v>26</v>
      </c>
      <c r="W16" s="18">
        <f t="shared" si="2"/>
        <v>0</v>
      </c>
      <c r="X16" s="18">
        <f t="shared" si="9"/>
        <v>0</v>
      </c>
      <c r="Y16" s="18">
        <f t="shared" si="10"/>
        <v>0</v>
      </c>
      <c r="Z16" s="18">
        <f t="shared" si="11"/>
        <v>0</v>
      </c>
      <c r="AA16" s="20">
        <f t="shared" si="12"/>
        <v>1072414.77</v>
      </c>
      <c r="AB16" s="23" t="s">
        <v>47</v>
      </c>
      <c r="AC16" s="2"/>
      <c r="AD16" s="2"/>
      <c r="AE16" s="2"/>
    </row>
    <row r="17" spans="1:31" s="22" customFormat="1" ht="24.95" customHeight="1">
      <c r="A17" s="12">
        <f t="shared" si="13"/>
        <v>9</v>
      </c>
      <c r="B17" s="13" t="s">
        <v>48</v>
      </c>
      <c r="C17" s="14" t="s">
        <v>49</v>
      </c>
      <c r="D17" s="15">
        <v>32</v>
      </c>
      <c r="E17" s="16">
        <v>9</v>
      </c>
      <c r="F17" s="15">
        <v>25</v>
      </c>
      <c r="G17" s="15">
        <v>11</v>
      </c>
      <c r="H17" s="15">
        <v>44</v>
      </c>
      <c r="I17" s="15">
        <v>2</v>
      </c>
      <c r="J17" s="15">
        <v>45002</v>
      </c>
      <c r="K17" s="17">
        <f t="shared" si="3"/>
        <v>1633523.21</v>
      </c>
      <c r="L17" s="17">
        <v>938798.52</v>
      </c>
      <c r="M17" s="17">
        <f t="shared" si="4"/>
        <v>694724.69</v>
      </c>
      <c r="N17" s="17">
        <f t="shared" si="5"/>
        <v>0</v>
      </c>
      <c r="O17" s="17">
        <v>0</v>
      </c>
      <c r="P17" s="17">
        <f t="shared" si="6"/>
        <v>0</v>
      </c>
      <c r="Q17" s="17">
        <f t="shared" si="7"/>
        <v>1633523.21</v>
      </c>
      <c r="R17" s="17">
        <f t="shared" si="8"/>
        <v>938798.52</v>
      </c>
      <c r="S17" s="17">
        <f t="shared" si="8"/>
        <v>694724.69</v>
      </c>
      <c r="T17" s="15">
        <v>93</v>
      </c>
      <c r="U17" s="18">
        <f t="shared" si="1"/>
        <v>1</v>
      </c>
      <c r="V17" s="19">
        <v>-8</v>
      </c>
      <c r="W17" s="18">
        <f t="shared" si="2"/>
        <v>1</v>
      </c>
      <c r="X17" s="18">
        <f t="shared" si="9"/>
        <v>1633523.21</v>
      </c>
      <c r="Y17" s="18">
        <f t="shared" si="10"/>
        <v>938798.52</v>
      </c>
      <c r="Z17" s="18">
        <f t="shared" si="11"/>
        <v>694724.69</v>
      </c>
      <c r="AA17" s="20">
        <f t="shared" si="12"/>
        <v>0</v>
      </c>
      <c r="AB17" s="23" t="s">
        <v>37</v>
      </c>
      <c r="AC17" s="2"/>
      <c r="AD17" s="2"/>
      <c r="AE17" s="2"/>
    </row>
    <row r="18" spans="1:31" s="22" customFormat="1" ht="24.95" customHeight="1">
      <c r="A18" s="12">
        <f t="shared" si="13"/>
        <v>10</v>
      </c>
      <c r="B18" s="13" t="s">
        <v>50</v>
      </c>
      <c r="C18" s="14" t="s">
        <v>51</v>
      </c>
      <c r="D18" s="15">
        <v>24</v>
      </c>
      <c r="E18" s="16">
        <v>9.5</v>
      </c>
      <c r="F18" s="15">
        <v>18</v>
      </c>
      <c r="G18" s="15">
        <v>10</v>
      </c>
      <c r="H18" s="15">
        <v>55.555555555555557</v>
      </c>
      <c r="I18" s="15">
        <v>2</v>
      </c>
      <c r="J18" s="15">
        <v>115021</v>
      </c>
      <c r="K18" s="17">
        <f t="shared" si="3"/>
        <v>4175136.06</v>
      </c>
      <c r="L18" s="17">
        <v>3291039.99</v>
      </c>
      <c r="M18" s="17">
        <f t="shared" si="4"/>
        <v>884096.06999999983</v>
      </c>
      <c r="N18" s="17">
        <f t="shared" si="5"/>
        <v>0</v>
      </c>
      <c r="O18" s="17">
        <v>0</v>
      </c>
      <c r="P18" s="17">
        <f t="shared" si="6"/>
        <v>0</v>
      </c>
      <c r="Q18" s="17">
        <f t="shared" si="7"/>
        <v>4175136.06</v>
      </c>
      <c r="R18" s="17">
        <f t="shared" si="8"/>
        <v>3291039.99</v>
      </c>
      <c r="S18" s="17">
        <f t="shared" si="8"/>
        <v>884096.06999999983</v>
      </c>
      <c r="T18" s="15">
        <v>97</v>
      </c>
      <c r="U18" s="18">
        <f t="shared" si="1"/>
        <v>1</v>
      </c>
      <c r="V18" s="19">
        <v>-6</v>
      </c>
      <c r="W18" s="18">
        <f t="shared" si="2"/>
        <v>1</v>
      </c>
      <c r="X18" s="18">
        <f t="shared" si="9"/>
        <v>4175136.06</v>
      </c>
      <c r="Y18" s="18">
        <f t="shared" si="10"/>
        <v>3291039.99</v>
      </c>
      <c r="Z18" s="18">
        <f t="shared" si="11"/>
        <v>884096.07</v>
      </c>
      <c r="AA18" s="20">
        <f t="shared" si="12"/>
        <v>0</v>
      </c>
      <c r="AB18" s="23" t="s">
        <v>37</v>
      </c>
      <c r="AC18" s="2"/>
      <c r="AD18" s="2"/>
      <c r="AE18" s="2"/>
    </row>
    <row r="19" spans="1:31" s="22" customFormat="1" ht="24.95" customHeight="1">
      <c r="A19" s="12">
        <f t="shared" si="13"/>
        <v>11</v>
      </c>
      <c r="B19" s="13" t="s">
        <v>52</v>
      </c>
      <c r="C19" s="14" t="s">
        <v>53</v>
      </c>
      <c r="D19" s="15">
        <v>24</v>
      </c>
      <c r="E19" s="16">
        <v>11</v>
      </c>
      <c r="F19" s="15">
        <v>18</v>
      </c>
      <c r="G19" s="15">
        <v>11</v>
      </c>
      <c r="H19" s="15">
        <v>61.111111111111114</v>
      </c>
      <c r="I19" s="15">
        <v>3</v>
      </c>
      <c r="J19" s="15">
        <v>94044</v>
      </c>
      <c r="K19" s="17">
        <f t="shared" si="3"/>
        <v>3413693.98</v>
      </c>
      <c r="L19" s="17">
        <v>2602849.1</v>
      </c>
      <c r="M19" s="17">
        <f t="shared" si="4"/>
        <v>810844.87999999989</v>
      </c>
      <c r="N19" s="17">
        <f t="shared" si="5"/>
        <v>6481741.2300000004</v>
      </c>
      <c r="O19" s="17">
        <v>4942151.9400000004</v>
      </c>
      <c r="P19" s="17">
        <f t="shared" si="6"/>
        <v>1539589.29</v>
      </c>
      <c r="Q19" s="17">
        <f t="shared" si="7"/>
        <v>9895435.2100000009</v>
      </c>
      <c r="R19" s="17">
        <f t="shared" si="8"/>
        <v>7545001.040000001</v>
      </c>
      <c r="S19" s="17">
        <f t="shared" si="8"/>
        <v>2350434.17</v>
      </c>
      <c r="T19" s="15">
        <v>119</v>
      </c>
      <c r="U19" s="18">
        <f t="shared" si="1"/>
        <v>1</v>
      </c>
      <c r="V19" s="19">
        <v>-5</v>
      </c>
      <c r="W19" s="18">
        <f t="shared" si="2"/>
        <v>1</v>
      </c>
      <c r="X19" s="18">
        <f t="shared" si="9"/>
        <v>9895435.2100000009</v>
      </c>
      <c r="Y19" s="18">
        <f t="shared" si="10"/>
        <v>7545001.04</v>
      </c>
      <c r="Z19" s="18">
        <f t="shared" si="11"/>
        <v>2350434.17</v>
      </c>
      <c r="AA19" s="20">
        <f t="shared" si="12"/>
        <v>0</v>
      </c>
      <c r="AB19" s="23" t="s">
        <v>54</v>
      </c>
      <c r="AC19" s="2"/>
      <c r="AD19" s="2"/>
      <c r="AE19" s="2"/>
    </row>
    <row r="20" spans="1:31" s="22" customFormat="1" ht="24.95" customHeight="1">
      <c r="A20" s="12">
        <f t="shared" si="13"/>
        <v>12</v>
      </c>
      <c r="B20" s="13" t="s">
        <v>55</v>
      </c>
      <c r="C20" s="14" t="s">
        <v>56</v>
      </c>
      <c r="D20" s="15">
        <v>7</v>
      </c>
      <c r="E20" s="16">
        <v>0.5</v>
      </c>
      <c r="F20" s="15">
        <v>6</v>
      </c>
      <c r="G20" s="15">
        <v>1</v>
      </c>
      <c r="H20" s="15">
        <v>16.666666666666664</v>
      </c>
      <c r="I20" s="15">
        <v>1</v>
      </c>
      <c r="J20" s="15">
        <v>22371</v>
      </c>
      <c r="K20" s="17">
        <f t="shared" si="3"/>
        <v>0</v>
      </c>
      <c r="L20" s="17">
        <v>0</v>
      </c>
      <c r="M20" s="17">
        <f t="shared" si="4"/>
        <v>0</v>
      </c>
      <c r="N20" s="17">
        <f t="shared" si="5"/>
        <v>0</v>
      </c>
      <c r="O20" s="17"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8"/>
        <v>0</v>
      </c>
      <c r="T20" s="15">
        <v>111</v>
      </c>
      <c r="U20" s="18">
        <f t="shared" si="1"/>
        <v>1</v>
      </c>
      <c r="V20" s="19">
        <v>-23</v>
      </c>
      <c r="W20" s="18">
        <f t="shared" si="2"/>
        <v>1</v>
      </c>
      <c r="X20" s="18">
        <f t="shared" si="9"/>
        <v>0</v>
      </c>
      <c r="Y20" s="18">
        <f t="shared" si="10"/>
        <v>0</v>
      </c>
      <c r="Z20" s="18">
        <f t="shared" si="11"/>
        <v>0</v>
      </c>
      <c r="AA20" s="20">
        <f t="shared" si="12"/>
        <v>0</v>
      </c>
      <c r="AB20" s="21" t="s">
        <v>57</v>
      </c>
      <c r="AC20" s="2"/>
      <c r="AD20" s="2"/>
      <c r="AE20" s="2"/>
    </row>
    <row r="21" spans="1:31" s="22" customFormat="1" ht="24.95" customHeight="1">
      <c r="A21" s="12">
        <f t="shared" si="13"/>
        <v>13</v>
      </c>
      <c r="B21" s="13" t="s">
        <v>58</v>
      </c>
      <c r="C21" s="14" t="s">
        <v>59</v>
      </c>
      <c r="D21" s="15">
        <v>7</v>
      </c>
      <c r="E21" s="16">
        <v>2.5</v>
      </c>
      <c r="F21" s="15">
        <v>6</v>
      </c>
      <c r="G21" s="15">
        <v>3</v>
      </c>
      <c r="H21" s="15">
        <v>50</v>
      </c>
      <c r="I21" s="15">
        <v>2</v>
      </c>
      <c r="J21" s="15">
        <v>16497</v>
      </c>
      <c r="K21" s="17">
        <f t="shared" si="3"/>
        <v>598822.99</v>
      </c>
      <c r="L21" s="17">
        <v>479072.91</v>
      </c>
      <c r="M21" s="17">
        <f t="shared" si="4"/>
        <v>119750.08000000002</v>
      </c>
      <c r="N21" s="17">
        <f t="shared" si="5"/>
        <v>0</v>
      </c>
      <c r="O21" s="17">
        <v>0</v>
      </c>
      <c r="P21" s="17">
        <f t="shared" si="6"/>
        <v>0</v>
      </c>
      <c r="Q21" s="17">
        <f t="shared" si="7"/>
        <v>598822.99</v>
      </c>
      <c r="R21" s="17">
        <f t="shared" si="8"/>
        <v>479072.91</v>
      </c>
      <c r="S21" s="17">
        <f t="shared" si="8"/>
        <v>119750.08000000002</v>
      </c>
      <c r="T21" s="15">
        <v>100</v>
      </c>
      <c r="U21" s="18">
        <f t="shared" si="1"/>
        <v>1</v>
      </c>
      <c r="V21" s="19">
        <v>-80</v>
      </c>
      <c r="W21" s="18">
        <f t="shared" si="2"/>
        <v>1</v>
      </c>
      <c r="X21" s="18">
        <f t="shared" si="9"/>
        <v>598822.99</v>
      </c>
      <c r="Y21" s="18">
        <f t="shared" si="10"/>
        <v>479072.91</v>
      </c>
      <c r="Z21" s="18">
        <f t="shared" si="11"/>
        <v>119750.08</v>
      </c>
      <c r="AA21" s="20">
        <f t="shared" si="12"/>
        <v>0</v>
      </c>
      <c r="AB21" s="23" t="s">
        <v>37</v>
      </c>
      <c r="AC21" s="2"/>
      <c r="AD21" s="2"/>
      <c r="AE21" s="2"/>
    </row>
    <row r="22" spans="1:31" s="22" customFormat="1" ht="24.95" customHeight="1">
      <c r="A22" s="12">
        <f t="shared" si="13"/>
        <v>14</v>
      </c>
      <c r="B22" s="13" t="s">
        <v>60</v>
      </c>
      <c r="C22" s="14" t="s">
        <v>61</v>
      </c>
      <c r="D22" s="15">
        <v>7</v>
      </c>
      <c r="E22" s="16">
        <v>3.5</v>
      </c>
      <c r="F22" s="15">
        <v>6</v>
      </c>
      <c r="G22" s="15">
        <v>5</v>
      </c>
      <c r="H22" s="15">
        <v>83.333333333333343</v>
      </c>
      <c r="I22" s="15">
        <v>3</v>
      </c>
      <c r="J22" s="15">
        <v>16658</v>
      </c>
      <c r="K22" s="17">
        <f t="shared" si="3"/>
        <v>604667.12</v>
      </c>
      <c r="L22" s="17">
        <v>485134.83</v>
      </c>
      <c r="M22" s="17">
        <f t="shared" si="4"/>
        <v>119532.28999999998</v>
      </c>
      <c r="N22" s="17">
        <f t="shared" si="5"/>
        <v>2062372.21</v>
      </c>
      <c r="O22" s="17">
        <v>1654676.71</v>
      </c>
      <c r="P22" s="17">
        <f t="shared" si="6"/>
        <v>407695.5</v>
      </c>
      <c r="Q22" s="17">
        <f t="shared" si="7"/>
        <v>2667039.33</v>
      </c>
      <c r="R22" s="17">
        <f t="shared" si="8"/>
        <v>2139811.54</v>
      </c>
      <c r="S22" s="17">
        <f t="shared" si="8"/>
        <v>527227.79</v>
      </c>
      <c r="T22" s="15">
        <v>108</v>
      </c>
      <c r="U22" s="18">
        <f t="shared" si="1"/>
        <v>1</v>
      </c>
      <c r="V22" s="19">
        <v>36</v>
      </c>
      <c r="W22" s="18">
        <f t="shared" si="2"/>
        <v>0</v>
      </c>
      <c r="X22" s="18">
        <f t="shared" si="9"/>
        <v>0</v>
      </c>
      <c r="Y22" s="18">
        <f t="shared" si="10"/>
        <v>0</v>
      </c>
      <c r="Z22" s="18">
        <f t="shared" si="11"/>
        <v>0</v>
      </c>
      <c r="AA22" s="20">
        <f t="shared" si="12"/>
        <v>2667039.33</v>
      </c>
      <c r="AB22" s="23" t="s">
        <v>62</v>
      </c>
      <c r="AC22" s="2"/>
      <c r="AD22" s="2"/>
      <c r="AE22" s="2"/>
    </row>
    <row r="23" spans="1:31" s="22" customFormat="1" ht="24.95" customHeight="1">
      <c r="A23" s="12">
        <f t="shared" si="13"/>
        <v>15</v>
      </c>
      <c r="B23" s="13" t="s">
        <v>63</v>
      </c>
      <c r="C23" s="14" t="s">
        <v>64</v>
      </c>
      <c r="D23" s="15">
        <v>32</v>
      </c>
      <c r="E23" s="16">
        <v>6.5</v>
      </c>
      <c r="F23" s="15">
        <v>25</v>
      </c>
      <c r="G23" s="15">
        <v>7</v>
      </c>
      <c r="H23" s="15">
        <v>28.000000000000004</v>
      </c>
      <c r="I23" s="15">
        <v>1</v>
      </c>
      <c r="J23" s="15">
        <v>11282</v>
      </c>
      <c r="K23" s="17">
        <f t="shared" si="3"/>
        <v>0</v>
      </c>
      <c r="L23" s="17">
        <v>0</v>
      </c>
      <c r="M23" s="17">
        <f t="shared" si="4"/>
        <v>0</v>
      </c>
      <c r="N23" s="17">
        <f t="shared" si="5"/>
        <v>0</v>
      </c>
      <c r="O23" s="17"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8"/>
        <v>0</v>
      </c>
      <c r="T23" s="15">
        <v>106</v>
      </c>
      <c r="U23" s="18">
        <f t="shared" si="1"/>
        <v>1</v>
      </c>
      <c r="V23" s="19">
        <v>-21</v>
      </c>
      <c r="W23" s="18">
        <f t="shared" si="2"/>
        <v>1</v>
      </c>
      <c r="X23" s="18">
        <f t="shared" si="9"/>
        <v>0</v>
      </c>
      <c r="Y23" s="18">
        <f t="shared" si="10"/>
        <v>0</v>
      </c>
      <c r="Z23" s="18">
        <f t="shared" si="11"/>
        <v>0</v>
      </c>
      <c r="AA23" s="20">
        <f t="shared" si="12"/>
        <v>0</v>
      </c>
      <c r="AB23" s="21" t="s">
        <v>57</v>
      </c>
      <c r="AC23" s="2"/>
      <c r="AD23" s="2"/>
      <c r="AE23" s="2"/>
    </row>
    <row r="24" spans="1:31" s="22" customFormat="1" ht="24.95" customHeight="1">
      <c r="A24" s="12">
        <f t="shared" si="13"/>
        <v>16</v>
      </c>
      <c r="B24" s="13" t="s">
        <v>65</v>
      </c>
      <c r="C24" s="14" t="s">
        <v>66</v>
      </c>
      <c r="D24" s="15">
        <v>32</v>
      </c>
      <c r="E24" s="16">
        <v>13.5</v>
      </c>
      <c r="F24" s="15">
        <v>25</v>
      </c>
      <c r="G24" s="15">
        <v>10</v>
      </c>
      <c r="H24" s="15">
        <v>40</v>
      </c>
      <c r="I24" s="15">
        <v>2</v>
      </c>
      <c r="J24" s="15">
        <v>16074</v>
      </c>
      <c r="K24" s="17">
        <f t="shared" si="3"/>
        <v>583468.56000000006</v>
      </c>
      <c r="L24" s="17">
        <v>490615.97</v>
      </c>
      <c r="M24" s="17">
        <f t="shared" si="4"/>
        <v>92852.590000000084</v>
      </c>
      <c r="N24" s="17">
        <f t="shared" si="5"/>
        <v>0</v>
      </c>
      <c r="O24" s="17">
        <v>0</v>
      </c>
      <c r="P24" s="17">
        <f t="shared" si="6"/>
        <v>0</v>
      </c>
      <c r="Q24" s="17">
        <f t="shared" si="7"/>
        <v>583468.56000000006</v>
      </c>
      <c r="R24" s="17">
        <f t="shared" si="8"/>
        <v>490615.97</v>
      </c>
      <c r="S24" s="17">
        <f t="shared" si="8"/>
        <v>92852.590000000084</v>
      </c>
      <c r="T24" s="15">
        <v>87</v>
      </c>
      <c r="U24" s="18">
        <f t="shared" si="1"/>
        <v>0.9</v>
      </c>
      <c r="V24" s="19">
        <v>-7</v>
      </c>
      <c r="W24" s="18">
        <f t="shared" si="2"/>
        <v>1</v>
      </c>
      <c r="X24" s="18">
        <f t="shared" si="9"/>
        <v>525121.69999999995</v>
      </c>
      <c r="Y24" s="18">
        <f t="shared" si="10"/>
        <v>441554.37</v>
      </c>
      <c r="Z24" s="18">
        <f t="shared" si="11"/>
        <v>83567.33</v>
      </c>
      <c r="AA24" s="20">
        <f t="shared" si="12"/>
        <v>58346.860000000102</v>
      </c>
      <c r="AB24" s="23" t="s">
        <v>31</v>
      </c>
      <c r="AC24" s="2"/>
      <c r="AD24" s="2"/>
      <c r="AE24" s="2"/>
    </row>
    <row r="25" spans="1:31" s="22" customFormat="1" ht="24.95" customHeight="1">
      <c r="A25" s="12">
        <f t="shared" si="13"/>
        <v>17</v>
      </c>
      <c r="B25" s="13" t="s">
        <v>67</v>
      </c>
      <c r="C25" s="14" t="s">
        <v>68</v>
      </c>
      <c r="D25" s="15">
        <v>32</v>
      </c>
      <c r="E25" s="16">
        <v>8</v>
      </c>
      <c r="F25" s="15">
        <v>25</v>
      </c>
      <c r="G25" s="15">
        <v>8</v>
      </c>
      <c r="H25" s="15">
        <v>32</v>
      </c>
      <c r="I25" s="15">
        <v>1</v>
      </c>
      <c r="J25" s="15">
        <v>38923</v>
      </c>
      <c r="K25" s="17">
        <f t="shared" si="3"/>
        <v>0</v>
      </c>
      <c r="L25" s="17">
        <v>0</v>
      </c>
      <c r="M25" s="17">
        <f t="shared" si="4"/>
        <v>0</v>
      </c>
      <c r="N25" s="17">
        <f t="shared" si="5"/>
        <v>0</v>
      </c>
      <c r="O25" s="17"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8"/>
        <v>0</v>
      </c>
      <c r="T25" s="15">
        <v>78</v>
      </c>
      <c r="U25" s="18">
        <f t="shared" si="1"/>
        <v>0.9</v>
      </c>
      <c r="V25" s="19">
        <v>-22</v>
      </c>
      <c r="W25" s="18">
        <f t="shared" si="2"/>
        <v>1</v>
      </c>
      <c r="X25" s="18">
        <f t="shared" si="9"/>
        <v>0</v>
      </c>
      <c r="Y25" s="18">
        <f t="shared" si="10"/>
        <v>0</v>
      </c>
      <c r="Z25" s="18">
        <f t="shared" si="11"/>
        <v>0</v>
      </c>
      <c r="AA25" s="20">
        <f t="shared" si="12"/>
        <v>0</v>
      </c>
      <c r="AB25" s="21" t="s">
        <v>57</v>
      </c>
      <c r="AC25" s="2"/>
      <c r="AD25" s="2"/>
      <c r="AE25" s="2"/>
    </row>
    <row r="26" spans="1:31" s="22" customFormat="1" ht="24.95" customHeight="1">
      <c r="A26" s="12">
        <f t="shared" si="13"/>
        <v>18</v>
      </c>
      <c r="B26" s="13" t="s">
        <v>69</v>
      </c>
      <c r="C26" s="14" t="s">
        <v>70</v>
      </c>
      <c r="D26" s="15">
        <v>25</v>
      </c>
      <c r="E26" s="16">
        <v>5.5</v>
      </c>
      <c r="F26" s="15">
        <v>19</v>
      </c>
      <c r="G26" s="15">
        <v>6</v>
      </c>
      <c r="H26" s="15">
        <v>31.578947368421051</v>
      </c>
      <c r="I26" s="15">
        <v>1</v>
      </c>
      <c r="J26" s="15">
        <v>5764</v>
      </c>
      <c r="K26" s="17">
        <f t="shared" si="3"/>
        <v>0</v>
      </c>
      <c r="L26" s="17">
        <v>0</v>
      </c>
      <c r="M26" s="17">
        <f t="shared" si="4"/>
        <v>0</v>
      </c>
      <c r="N26" s="17">
        <f t="shared" si="5"/>
        <v>0</v>
      </c>
      <c r="O26" s="17"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8"/>
        <v>0</v>
      </c>
      <c r="T26" s="15">
        <v>83</v>
      </c>
      <c r="U26" s="18">
        <f t="shared" si="1"/>
        <v>0.9</v>
      </c>
      <c r="V26" s="19">
        <v>-14</v>
      </c>
      <c r="W26" s="18">
        <f t="shared" si="2"/>
        <v>1</v>
      </c>
      <c r="X26" s="18">
        <f t="shared" si="9"/>
        <v>0</v>
      </c>
      <c r="Y26" s="18">
        <f t="shared" si="10"/>
        <v>0</v>
      </c>
      <c r="Z26" s="18">
        <f t="shared" si="11"/>
        <v>0</v>
      </c>
      <c r="AA26" s="20">
        <f t="shared" si="12"/>
        <v>0</v>
      </c>
      <c r="AB26" s="21" t="s">
        <v>57</v>
      </c>
      <c r="AC26" s="2"/>
      <c r="AD26" s="2"/>
      <c r="AE26" s="2"/>
    </row>
    <row r="27" spans="1:31" s="22" customFormat="1" ht="24.95" customHeight="1">
      <c r="A27" s="12">
        <f t="shared" si="13"/>
        <v>19</v>
      </c>
      <c r="B27" s="13" t="s">
        <v>71</v>
      </c>
      <c r="C27" s="14" t="s">
        <v>72</v>
      </c>
      <c r="D27" s="15">
        <v>21</v>
      </c>
      <c r="E27" s="16">
        <v>1</v>
      </c>
      <c r="F27" s="15">
        <v>16</v>
      </c>
      <c r="G27" s="15">
        <v>1</v>
      </c>
      <c r="H27" s="15">
        <v>6</v>
      </c>
      <c r="I27" s="15">
        <v>1</v>
      </c>
      <c r="J27" s="15">
        <v>3043</v>
      </c>
      <c r="K27" s="17">
        <f t="shared" si="3"/>
        <v>0</v>
      </c>
      <c r="L27" s="17">
        <v>0</v>
      </c>
      <c r="M27" s="17">
        <f t="shared" si="4"/>
        <v>0</v>
      </c>
      <c r="N27" s="17">
        <f t="shared" si="5"/>
        <v>0</v>
      </c>
      <c r="O27" s="17"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8"/>
        <v>0</v>
      </c>
      <c r="T27" s="15">
        <v>16</v>
      </c>
      <c r="U27" s="18">
        <f t="shared" si="1"/>
        <v>0</v>
      </c>
      <c r="V27" s="19">
        <v>25</v>
      </c>
      <c r="W27" s="18">
        <f t="shared" si="2"/>
        <v>0</v>
      </c>
      <c r="X27" s="18">
        <f t="shared" si="9"/>
        <v>0</v>
      </c>
      <c r="Y27" s="18">
        <f t="shared" si="10"/>
        <v>0</v>
      </c>
      <c r="Z27" s="18">
        <f t="shared" si="11"/>
        <v>0</v>
      </c>
      <c r="AA27" s="20">
        <f t="shared" si="12"/>
        <v>0</v>
      </c>
      <c r="AB27" s="21" t="s">
        <v>57</v>
      </c>
      <c r="AC27" s="2"/>
      <c r="AD27" s="2"/>
      <c r="AE27" s="2"/>
    </row>
    <row r="28" spans="1:31" s="22" customFormat="1" ht="24.95" customHeight="1">
      <c r="A28" s="12">
        <f t="shared" si="13"/>
        <v>20</v>
      </c>
      <c r="B28" s="24" t="s">
        <v>73</v>
      </c>
      <c r="C28" s="14" t="s">
        <v>74</v>
      </c>
      <c r="D28" s="15">
        <v>21</v>
      </c>
      <c r="E28" s="16">
        <v>7</v>
      </c>
      <c r="F28" s="15">
        <v>16</v>
      </c>
      <c r="G28" s="15">
        <v>6</v>
      </c>
      <c r="H28" s="15">
        <v>37.5</v>
      </c>
      <c r="I28" s="15">
        <v>1</v>
      </c>
      <c r="J28" s="15">
        <v>5290</v>
      </c>
      <c r="K28" s="17">
        <f t="shared" si="3"/>
        <v>0</v>
      </c>
      <c r="L28" s="17">
        <v>0</v>
      </c>
      <c r="M28" s="17">
        <f t="shared" si="4"/>
        <v>0</v>
      </c>
      <c r="N28" s="17">
        <f t="shared" si="5"/>
        <v>0</v>
      </c>
      <c r="O28" s="17"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8"/>
        <v>0</v>
      </c>
      <c r="T28" s="15">
        <v>79</v>
      </c>
      <c r="U28" s="18">
        <f t="shared" si="1"/>
        <v>0.9</v>
      </c>
      <c r="V28" s="19">
        <v>-15</v>
      </c>
      <c r="W28" s="18">
        <f t="shared" si="2"/>
        <v>1</v>
      </c>
      <c r="X28" s="18">
        <f t="shared" si="9"/>
        <v>0</v>
      </c>
      <c r="Y28" s="18">
        <f t="shared" si="10"/>
        <v>0</v>
      </c>
      <c r="Z28" s="18">
        <f t="shared" si="11"/>
        <v>0</v>
      </c>
      <c r="AA28" s="20">
        <f t="shared" si="12"/>
        <v>0</v>
      </c>
      <c r="AB28" s="21" t="s">
        <v>57</v>
      </c>
      <c r="AC28" s="2"/>
      <c r="AD28" s="2"/>
      <c r="AE28" s="2"/>
    </row>
    <row r="29" spans="1:31" s="22" customFormat="1" ht="24.95" customHeight="1">
      <c r="A29" s="12">
        <f t="shared" si="13"/>
        <v>21</v>
      </c>
      <c r="B29" s="24" t="s">
        <v>75</v>
      </c>
      <c r="C29" s="14" t="s">
        <v>76</v>
      </c>
      <c r="D29" s="15">
        <v>25</v>
      </c>
      <c r="E29" s="16">
        <v>12</v>
      </c>
      <c r="F29" s="15">
        <v>19</v>
      </c>
      <c r="G29" s="15">
        <v>9</v>
      </c>
      <c r="H29" s="15">
        <v>47.368421052631575</v>
      </c>
      <c r="I29" s="15">
        <v>2</v>
      </c>
      <c r="J29" s="15">
        <v>5858</v>
      </c>
      <c r="K29" s="17">
        <f t="shared" si="3"/>
        <v>212638.97</v>
      </c>
      <c r="L29" s="17">
        <v>12632.02</v>
      </c>
      <c r="M29" s="17">
        <f t="shared" si="4"/>
        <v>200006.95</v>
      </c>
      <c r="N29" s="17">
        <f t="shared" si="5"/>
        <v>0</v>
      </c>
      <c r="O29" s="17">
        <v>0</v>
      </c>
      <c r="P29" s="17">
        <f t="shared" si="6"/>
        <v>0</v>
      </c>
      <c r="Q29" s="17">
        <f t="shared" si="7"/>
        <v>212638.97</v>
      </c>
      <c r="R29" s="17">
        <f t="shared" si="8"/>
        <v>12632.02</v>
      </c>
      <c r="S29" s="17">
        <f t="shared" si="8"/>
        <v>200006.95</v>
      </c>
      <c r="T29" s="15">
        <v>87</v>
      </c>
      <c r="U29" s="18">
        <f t="shared" si="1"/>
        <v>0.9</v>
      </c>
      <c r="V29" s="19">
        <v>-8</v>
      </c>
      <c r="W29" s="18">
        <f t="shared" si="2"/>
        <v>1</v>
      </c>
      <c r="X29" s="18">
        <f t="shared" si="9"/>
        <v>191375.08000000002</v>
      </c>
      <c r="Y29" s="18">
        <f t="shared" si="10"/>
        <v>11368.82</v>
      </c>
      <c r="Z29" s="18">
        <f t="shared" si="11"/>
        <v>180006.26</v>
      </c>
      <c r="AA29" s="20">
        <f t="shared" si="12"/>
        <v>21263.889999999985</v>
      </c>
      <c r="AB29" s="23" t="s">
        <v>31</v>
      </c>
      <c r="AC29" s="2"/>
      <c r="AD29" s="2"/>
      <c r="AE29" s="2"/>
    </row>
    <row r="30" spans="1:31" s="32" customFormat="1" ht="32.25" customHeight="1">
      <c r="A30" s="8"/>
      <c r="B30" s="25" t="s">
        <v>77</v>
      </c>
      <c r="C30" s="26"/>
      <c r="D30" s="27">
        <f>SUM(D9:D29)</f>
        <v>534</v>
      </c>
      <c r="E30" s="28">
        <f>SUM(E9:E29)</f>
        <v>172</v>
      </c>
      <c r="F30" s="27">
        <f>SUM(F9:F29)</f>
        <v>415</v>
      </c>
      <c r="G30" s="27">
        <f>SUM(G9:G29)</f>
        <v>173</v>
      </c>
      <c r="H30" s="27">
        <f>ROUND(G30/F30*100,0)</f>
        <v>42</v>
      </c>
      <c r="I30" s="29"/>
      <c r="J30" s="27">
        <f>SUM(J9:J29)</f>
        <v>677937</v>
      </c>
      <c r="K30" s="17">
        <f t="shared" ref="K30" si="14">L30+M30</f>
        <v>19936264.690000001</v>
      </c>
      <c r="L30" s="30">
        <f>SUM(L9:L29)</f>
        <v>13290407.560000001</v>
      </c>
      <c r="M30" s="30">
        <f>SUM(M9:M29)</f>
        <v>6645857.1299999999</v>
      </c>
      <c r="N30" s="17">
        <f t="shared" ref="N30" si="15">O30+P30</f>
        <v>8544113.4400000013</v>
      </c>
      <c r="O30" s="30">
        <f>SUM(O9:O29)</f>
        <v>6596828.6500000004</v>
      </c>
      <c r="P30" s="30">
        <f>SUM(P9:P29)</f>
        <v>1947284.79</v>
      </c>
      <c r="Q30" s="17">
        <f t="shared" si="7"/>
        <v>28480378.129999995</v>
      </c>
      <c r="R30" s="30">
        <f>SUM(R9:R29)</f>
        <v>19887236.209999997</v>
      </c>
      <c r="S30" s="30">
        <f>SUM(S9:S29)</f>
        <v>8593141.9199999999</v>
      </c>
      <c r="T30" s="15">
        <v>92</v>
      </c>
      <c r="U30" s="31"/>
      <c r="V30" s="19">
        <v>-4</v>
      </c>
      <c r="W30" s="18"/>
      <c r="X30" s="18">
        <f>Y30+Z30</f>
        <v>24081249.57</v>
      </c>
      <c r="Y30" s="18">
        <f>SUM(Y9:Y29)</f>
        <v>16372527.520000001</v>
      </c>
      <c r="Z30" s="18">
        <f>SUM(Z9:Z29)</f>
        <v>7708722.0499999998</v>
      </c>
      <c r="AA30" s="23"/>
      <c r="AB30" s="23"/>
      <c r="AC30" s="2"/>
      <c r="AD30" s="2"/>
      <c r="AE30" s="2"/>
    </row>
    <row r="31" spans="1:31" ht="27.75" customHeight="1">
      <c r="A31" s="33"/>
      <c r="B31" s="33" t="s">
        <v>78</v>
      </c>
      <c r="C31" s="33"/>
      <c r="D31" s="33"/>
      <c r="E31" s="1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8">
        <f>B37-X30</f>
        <v>4399128.5600000024</v>
      </c>
      <c r="Y31" s="33"/>
      <c r="Z31" s="33"/>
      <c r="AA31" s="23"/>
      <c r="AB31" s="23"/>
    </row>
    <row r="32" spans="1:31" ht="20.25">
      <c r="A32" s="34"/>
      <c r="B32" s="34" t="s">
        <v>57</v>
      </c>
      <c r="C32" s="35"/>
      <c r="D32" s="34">
        <f>SUMIF($I$9:$I$29,1,$D$9:$D$29)</f>
        <v>191</v>
      </c>
      <c r="E32" s="36">
        <f>SUMIF($I$9:$I$29,1,$E$9:$E$29)</f>
        <v>36</v>
      </c>
      <c r="F32" s="34">
        <f>SUMIF($I$9:$I$29,1,$F$9:$F$29)</f>
        <v>148</v>
      </c>
      <c r="G32" s="34">
        <f>SUMIF($I$9:$I$29,1,$G$9:$G$29)</f>
        <v>38</v>
      </c>
      <c r="H32" s="34"/>
      <c r="I32" s="34"/>
      <c r="J32" s="37">
        <f>SUMIF($I$9:$I$29,1,$J$9:$J$29)</f>
        <v>128712</v>
      </c>
      <c r="K32" s="10"/>
      <c r="L32" s="10"/>
      <c r="M32" s="10"/>
      <c r="N32" s="38"/>
      <c r="O32" s="10"/>
      <c r="P32" s="10"/>
      <c r="Q32" s="10"/>
      <c r="R32" s="10"/>
      <c r="S32" s="10"/>
      <c r="T32" s="10"/>
      <c r="U32" s="10"/>
      <c r="V32" s="10"/>
      <c r="W32" s="10"/>
      <c r="X32" s="38"/>
      <c r="Y32" s="10"/>
      <c r="Z32" s="10"/>
      <c r="AA32" s="10"/>
      <c r="AB32" s="10"/>
      <c r="AC32" s="39"/>
      <c r="AD32" s="39"/>
      <c r="AE32" s="39"/>
    </row>
    <row r="33" spans="1:31" ht="20.25">
      <c r="A33" s="40"/>
      <c r="B33" s="40" t="s">
        <v>79</v>
      </c>
      <c r="C33" s="41"/>
      <c r="D33" s="40">
        <f>SUMIF($I$9:$I$29,2,$D$9:$D$29)</f>
        <v>312</v>
      </c>
      <c r="E33" s="42">
        <f>SUMIF($I$9:$I$29,2,$E$9:$E$29)</f>
        <v>121.5</v>
      </c>
      <c r="F33" s="40">
        <f>SUMIF($I$9:$I$29,2,$F$9:$F$29)</f>
        <v>243</v>
      </c>
      <c r="G33" s="40">
        <f>SUMIF($I$9:$I$29,2,$G$9:$G$29)</f>
        <v>119</v>
      </c>
      <c r="H33" s="40"/>
      <c r="I33" s="40"/>
      <c r="J33" s="43">
        <f>SUMIF($I$9:$I$29,2,$J$9:$J$29)</f>
        <v>438523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39"/>
      <c r="AD33" s="39"/>
      <c r="AE33" s="39"/>
    </row>
    <row r="34" spans="1:31" ht="20.25">
      <c r="A34" s="40"/>
      <c r="B34" s="40" t="s">
        <v>80</v>
      </c>
      <c r="C34" s="41"/>
      <c r="D34" s="40">
        <f>SUMIF($I$9:$I$29,3,$D$9:$D$29)</f>
        <v>31</v>
      </c>
      <c r="E34" s="42">
        <f>SUMIF($I$9:$I$29,3,$E$9:$E$29)</f>
        <v>14.5</v>
      </c>
      <c r="F34" s="40">
        <f>SUMIF($I$9:$I$29,3,$F$9:$F$29)</f>
        <v>24</v>
      </c>
      <c r="G34" s="40">
        <f>SUMIF($I$9:$I$29,3,$G$9:$G$29)</f>
        <v>16</v>
      </c>
      <c r="H34" s="40"/>
      <c r="I34" s="40"/>
      <c r="J34" s="43">
        <f>SUMIF($I$9:$I$29,3,$J$9:$J$29)</f>
        <v>110702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9"/>
      <c r="AD34" s="39"/>
      <c r="AE34" s="39"/>
    </row>
    <row r="35" spans="1:31" ht="2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9"/>
      <c r="AD35" s="39"/>
      <c r="AE35" s="39"/>
    </row>
    <row r="36" spans="1:31" ht="132" customHeight="1">
      <c r="A36" s="23"/>
      <c r="B36" s="7" t="s">
        <v>81</v>
      </c>
      <c r="C36" s="58" t="s">
        <v>82</v>
      </c>
      <c r="D36" s="59"/>
      <c r="E36" s="60"/>
      <c r="F36" s="44"/>
      <c r="G36" s="44"/>
      <c r="H36" s="58" t="s">
        <v>83</v>
      </c>
      <c r="I36" s="59"/>
      <c r="J36" s="60"/>
      <c r="K36" s="58" t="s">
        <v>84</v>
      </c>
      <c r="L36" s="60"/>
      <c r="M36" s="58" t="s">
        <v>85</v>
      </c>
      <c r="N36" s="6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9"/>
      <c r="AD36" s="39"/>
      <c r="AE36" s="39"/>
    </row>
    <row r="37" spans="1:31" s="22" customFormat="1" ht="40.5" customHeight="1">
      <c r="A37" s="33"/>
      <c r="B37" s="18">
        <v>28480378.130000003</v>
      </c>
      <c r="C37" s="45"/>
      <c r="D37" s="46"/>
      <c r="E37" s="47">
        <f>ROUND(B37*0.7,2)</f>
        <v>19936264.690000001</v>
      </c>
      <c r="F37" s="48"/>
      <c r="G37" s="48"/>
      <c r="H37" s="45"/>
      <c r="I37" s="46"/>
      <c r="J37" s="49">
        <f>IFERROR(E37/(J33+J34),0)</f>
        <v>36.298902435249673</v>
      </c>
      <c r="K37" s="45"/>
      <c r="L37" s="47">
        <f>B37-E37</f>
        <v>8544113.4400000013</v>
      </c>
      <c r="M37" s="45"/>
      <c r="N37" s="49">
        <f>IFERROR($L$37/$E$34,0)</f>
        <v>589249.20275862073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1"/>
      <c r="AD37" s="51"/>
      <c r="AE37" s="51"/>
    </row>
  </sheetData>
  <mergeCells count="21">
    <mergeCell ref="A2:M2"/>
    <mergeCell ref="A3:M3"/>
    <mergeCell ref="A6:A7"/>
    <mergeCell ref="B6:B7"/>
    <mergeCell ref="C6:C7"/>
    <mergeCell ref="D6:I6"/>
    <mergeCell ref="J6:J7"/>
    <mergeCell ref="K6:M6"/>
    <mergeCell ref="X6:Z6"/>
    <mergeCell ref="AA6:AA7"/>
    <mergeCell ref="AB6:AB7"/>
    <mergeCell ref="C36:E36"/>
    <mergeCell ref="H36:J36"/>
    <mergeCell ref="K36:L36"/>
    <mergeCell ref="M36:N36"/>
    <mergeCell ref="N6:P6"/>
    <mergeCell ref="Q6:S6"/>
    <mergeCell ref="T6:T7"/>
    <mergeCell ref="U6:U7"/>
    <mergeCell ref="V6:V7"/>
    <mergeCell ref="W6:W7"/>
  </mergeCells>
  <conditionalFormatting sqref="I9:I29">
    <cfRule type="cellIs" dxfId="4" priority="4" operator="equal">
      <formula>3</formula>
    </cfRule>
    <cfRule type="cellIs" dxfId="3" priority="5" operator="equal">
      <formula>2</formula>
    </cfRule>
  </conditionalFormatting>
  <conditionalFormatting sqref="U9:U29">
    <cfRule type="cellIs" dxfId="2" priority="3" operator="equal">
      <formula>0</formula>
    </cfRule>
  </conditionalFormatting>
  <conditionalFormatting sqref="W9:W29">
    <cfRule type="cellIs" dxfId="1" priority="2" operator="equal">
      <formula>0</formula>
    </cfRule>
  </conditionalFormatting>
  <conditionalFormatting sqref="X9:Z29">
    <cfRule type="cellIs" dxfId="0" priority="1" operator="equal">
      <formula>0</formula>
    </cfRule>
  </conditionalFormatting>
  <pageMargins left="0.19685039370078741" right="0.15748031496062992" top="0.51181102362204722" bottom="0.39370078740157483" header="0.31496062992125984" footer="0.31496062992125984"/>
  <pageSetup paperSize="9" scale="41" fitToWidth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Оценка_9 мес</vt:lpstr>
      <vt:lpstr>'Оценка_9 мес'!Заголовки_для_печати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Kiseleva.LA</dc:creator>
  <cp:lastModifiedBy>Kiseleva.LA</cp:lastModifiedBy>
  <cp:lastPrinted>2023-09-22T08:12:58Z</cp:lastPrinted>
  <dcterms:created xsi:type="dcterms:W3CDTF">2023-09-21T08:55:00Z</dcterms:created>
  <dcterms:modified xsi:type="dcterms:W3CDTF">2023-09-22T08:24:01Z</dcterms:modified>
</cp:coreProperties>
</file>