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12 мес" sheetId="1" r:id="rId1"/>
  </sheets>
  <calcPr calcId="125725"/>
</workbook>
</file>

<file path=xl/calcChain.xml><?xml version="1.0" encoding="utf-8"?>
<calcChain xmlns="http://schemas.openxmlformats.org/spreadsheetml/2006/main">
  <c r="W29" i="1"/>
  <c r="U29"/>
  <c r="W28"/>
  <c r="U28"/>
  <c r="K28"/>
  <c r="W27"/>
  <c r="U27"/>
  <c r="K27"/>
  <c r="W26"/>
  <c r="U26"/>
  <c r="W25"/>
  <c r="U25"/>
  <c r="W24"/>
  <c r="U24"/>
  <c r="W23"/>
  <c r="U23"/>
  <c r="W22"/>
  <c r="U22"/>
  <c r="W21"/>
  <c r="U21"/>
  <c r="W20"/>
  <c r="U20"/>
  <c r="K20"/>
  <c r="W19"/>
  <c r="U19"/>
  <c r="W18"/>
  <c r="U18"/>
  <c r="W17"/>
  <c r="U17"/>
  <c r="W16"/>
  <c r="U16"/>
  <c r="W15"/>
  <c r="U15"/>
  <c r="W14"/>
  <c r="U14"/>
  <c r="W13"/>
  <c r="U13"/>
  <c r="W12"/>
  <c r="U12"/>
  <c r="W11"/>
  <c r="U11"/>
  <c r="K11"/>
  <c r="W10"/>
  <c r="U10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W9"/>
  <c r="U9"/>
  <c r="J30"/>
  <c r="J34"/>
  <c r="G30"/>
  <c r="F30"/>
  <c r="E30"/>
  <c r="D30"/>
  <c r="C8"/>
  <c r="D8" s="1"/>
  <c r="E8" s="1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B8"/>
  <c r="H30" l="1"/>
  <c r="M11"/>
  <c r="M20"/>
  <c r="M27"/>
  <c r="N29"/>
  <c r="N27"/>
  <c r="N25"/>
  <c r="N24"/>
  <c r="N23"/>
  <c r="N21"/>
  <c r="N20"/>
  <c r="N19"/>
  <c r="N15"/>
  <c r="N13"/>
  <c r="N11"/>
  <c r="N10"/>
  <c r="N9"/>
  <c r="N28"/>
  <c r="N26"/>
  <c r="N14"/>
  <c r="M28"/>
  <c r="K9"/>
  <c r="E32"/>
  <c r="G32"/>
  <c r="D33"/>
  <c r="F33"/>
  <c r="J33"/>
  <c r="E34"/>
  <c r="G34"/>
  <c r="D32"/>
  <c r="F32"/>
  <c r="J32"/>
  <c r="E33"/>
  <c r="G33"/>
  <c r="D34"/>
  <c r="F34"/>
  <c r="E37"/>
  <c r="J37" s="1"/>
  <c r="K12" s="1"/>
  <c r="M9" l="1"/>
  <c r="P28"/>
  <c r="S28" s="1"/>
  <c r="Z28" s="1"/>
  <c r="P10"/>
  <c r="P15"/>
  <c r="P20"/>
  <c r="S20" s="1"/>
  <c r="Z20" s="1"/>
  <c r="P24"/>
  <c r="P27"/>
  <c r="S27" s="1"/>
  <c r="Z27" s="1"/>
  <c r="K18"/>
  <c r="L37"/>
  <c r="N37" s="1"/>
  <c r="K25"/>
  <c r="K23"/>
  <c r="K21"/>
  <c r="K17"/>
  <c r="K15"/>
  <c r="K13"/>
  <c r="K10"/>
  <c r="R27"/>
  <c r="R20"/>
  <c r="P14"/>
  <c r="P26"/>
  <c r="P9"/>
  <c r="P11"/>
  <c r="S11" s="1"/>
  <c r="Z11" s="1"/>
  <c r="P13"/>
  <c r="P19"/>
  <c r="P21"/>
  <c r="P23"/>
  <c r="P25"/>
  <c r="P29"/>
  <c r="K26"/>
  <c r="R28"/>
  <c r="K29"/>
  <c r="K24"/>
  <c r="K22"/>
  <c r="K19"/>
  <c r="K16"/>
  <c r="K14"/>
  <c r="R11"/>
  <c r="R14" l="1"/>
  <c r="R19"/>
  <c r="R24"/>
  <c r="Y28"/>
  <c r="X28" s="1"/>
  <c r="Q28"/>
  <c r="Y20"/>
  <c r="X20" s="1"/>
  <c r="Q20"/>
  <c r="R10"/>
  <c r="R15"/>
  <c r="R21"/>
  <c r="R25"/>
  <c r="M18"/>
  <c r="S9"/>
  <c r="Y11"/>
  <c r="X11" s="1"/>
  <c r="Q11"/>
  <c r="R29"/>
  <c r="R26"/>
  <c r="Y27"/>
  <c r="X27" s="1"/>
  <c r="Q27"/>
  <c r="R13"/>
  <c r="R23"/>
  <c r="N16"/>
  <c r="N22"/>
  <c r="N17"/>
  <c r="N12"/>
  <c r="N18"/>
  <c r="R9"/>
  <c r="M12"/>
  <c r="M13" l="1"/>
  <c r="S13" s="1"/>
  <c r="Z13" s="1"/>
  <c r="M26"/>
  <c r="S26" s="1"/>
  <c r="Z26" s="1"/>
  <c r="M10"/>
  <c r="S10" s="1"/>
  <c r="Z10" s="1"/>
  <c r="Y9"/>
  <c r="Q9"/>
  <c r="P16"/>
  <c r="Y29"/>
  <c r="Y25"/>
  <c r="Y21"/>
  <c r="Y15"/>
  <c r="Y24"/>
  <c r="Y19"/>
  <c r="R16"/>
  <c r="M14"/>
  <c r="S14" s="1"/>
  <c r="Z14" s="1"/>
  <c r="P18"/>
  <c r="S18" s="1"/>
  <c r="Z18" s="1"/>
  <c r="R17"/>
  <c r="Y23"/>
  <c r="P12"/>
  <c r="R22"/>
  <c r="Y13"/>
  <c r="X13" s="1"/>
  <c r="Q13"/>
  <c r="Y26"/>
  <c r="X26" s="1"/>
  <c r="Q26"/>
  <c r="Z9"/>
  <c r="Y10"/>
  <c r="X10" s="1"/>
  <c r="Q10"/>
  <c r="Y14"/>
  <c r="X14" s="1"/>
  <c r="Q14"/>
  <c r="L30"/>
  <c r="M23"/>
  <c r="S23" s="1"/>
  <c r="Z23" s="1"/>
  <c r="M17"/>
  <c r="AA27"/>
  <c r="M29"/>
  <c r="S29" s="1"/>
  <c r="Z29" s="1"/>
  <c r="M22"/>
  <c r="M16"/>
  <c r="AA11"/>
  <c r="R18"/>
  <c r="M25"/>
  <c r="S25" s="1"/>
  <c r="Z25" s="1"/>
  <c r="M21"/>
  <c r="S21" s="1"/>
  <c r="Z21" s="1"/>
  <c r="M15"/>
  <c r="S15" s="1"/>
  <c r="Z15" s="1"/>
  <c r="AA20"/>
  <c r="AA28"/>
  <c r="M24"/>
  <c r="S24" s="1"/>
  <c r="Z24" s="1"/>
  <c r="M19"/>
  <c r="S19" s="1"/>
  <c r="Z19" s="1"/>
  <c r="AA26" l="1"/>
  <c r="AA13"/>
  <c r="AA14"/>
  <c r="AA10"/>
  <c r="Y22"/>
  <c r="Y17"/>
  <c r="Y18"/>
  <c r="X18" s="1"/>
  <c r="Q18"/>
  <c r="R12"/>
  <c r="O30"/>
  <c r="Y16"/>
  <c r="S16"/>
  <c r="Z16" s="1"/>
  <c r="P22"/>
  <c r="X23"/>
  <c r="P17"/>
  <c r="S17" s="1"/>
  <c r="Q19"/>
  <c r="Q24"/>
  <c r="Q15"/>
  <c r="Q21"/>
  <c r="Q25"/>
  <c r="Q29"/>
  <c r="X9"/>
  <c r="AA9" s="1"/>
  <c r="S22"/>
  <c r="Z22" s="1"/>
  <c r="P30"/>
  <c r="Q23"/>
  <c r="M30"/>
  <c r="K30" s="1"/>
  <c r="S12"/>
  <c r="X19"/>
  <c r="X24"/>
  <c r="X15"/>
  <c r="X21"/>
  <c r="X25"/>
  <c r="X29"/>
  <c r="AA23" l="1"/>
  <c r="Z17"/>
  <c r="X17" s="1"/>
  <c r="Q17"/>
  <c r="Z12"/>
  <c r="Z30" s="1"/>
  <c r="S30"/>
  <c r="Y12"/>
  <c r="Q12"/>
  <c r="R30"/>
  <c r="Q30" s="1"/>
  <c r="AA25"/>
  <c r="AA15"/>
  <c r="AA19"/>
  <c r="X16"/>
  <c r="X22"/>
  <c r="AA29"/>
  <c r="AA21"/>
  <c r="AA24"/>
  <c r="Q16"/>
  <c r="N30"/>
  <c r="AA18"/>
  <c r="Q22"/>
  <c r="AA16" l="1"/>
  <c r="AA22"/>
  <c r="X12"/>
  <c r="AA12" s="1"/>
  <c r="Y30"/>
  <c r="X30" s="1"/>
  <c r="X31" s="1"/>
  <c r="AA17"/>
  <c r="AA30" l="1"/>
</calcChain>
</file>

<file path=xl/sharedStrings.xml><?xml version="1.0" encoding="utf-8"?>
<sst xmlns="http://schemas.openxmlformats.org/spreadsheetml/2006/main" count="108" uniqueCount="88">
  <si>
    <t xml:space="preserve">РАСЧЕТ
размера стимулирующих выплат с учетом показателей результативности деятельности медицинских организаций </t>
  </si>
  <si>
    <t>за декабрь 2022 года - ноябрь 2023 года</t>
  </si>
  <si>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</si>
  <si>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</si>
  <si>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</si>
  <si>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</si>
  <si>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</si>
  <si>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r>
      <t xml:space="preserve">Размер стимулирующих выплат медицинским организациям </t>
    </r>
    <r>
      <rPr>
        <b/>
        <sz val="16"/>
        <color theme="1"/>
        <rFont val="Cambria"/>
        <family val="1"/>
        <charset val="204"/>
        <scheme val="major"/>
      </rPr>
      <t xml:space="preserve">II и III групп </t>
    </r>
    <r>
      <rPr>
        <sz val="16"/>
        <color theme="1"/>
        <rFont val="Cambria"/>
        <family val="1"/>
        <charset val="204"/>
        <scheme val="major"/>
      </rPr>
      <t xml:space="preserve">за отчетный период при распределении </t>
    </r>
    <r>
      <rPr>
        <b/>
        <sz val="16"/>
        <color theme="1"/>
        <rFont val="Cambria"/>
        <family val="1"/>
        <charset val="204"/>
        <scheme val="major"/>
      </rPr>
      <t xml:space="preserve">70% </t>
    </r>
    <r>
      <rPr>
        <sz val="16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</si>
  <si>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t xml:space="preserve">Размер стимулирующих выплат медицинским организациям </t>
    </r>
    <r>
      <rPr>
        <b/>
        <sz val="16"/>
        <color theme="1"/>
        <rFont val="Cambria"/>
        <family val="1"/>
        <charset val="204"/>
        <scheme val="major"/>
      </rPr>
      <t>III группы</t>
    </r>
    <r>
      <rPr>
        <sz val="16"/>
        <color theme="1"/>
        <rFont val="Cambria"/>
        <family val="1"/>
        <charset val="204"/>
        <scheme val="major"/>
      </rPr>
      <t xml:space="preserve"> за отчетный период при распределении </t>
    </r>
    <r>
      <rPr>
        <b/>
        <sz val="16"/>
        <color theme="1"/>
        <rFont val="Cambria"/>
        <family val="1"/>
        <charset val="204"/>
        <scheme val="major"/>
      </rPr>
      <t xml:space="preserve">30% </t>
    </r>
    <r>
      <rPr>
        <sz val="16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</si>
  <si>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t>Размер стимулирующих выплат медицинским организациям (</t>
    </r>
    <r>
      <rPr>
        <b/>
        <sz val="16"/>
        <color theme="1"/>
        <rFont val="Cambria"/>
        <family val="1"/>
        <charset val="204"/>
        <scheme val="major"/>
      </rPr>
      <t xml:space="preserve">II группа  +  III группа) за отчетный период  с учетом показателей результативности, </t>
    </r>
    <r>
      <rPr>
        <sz val="16"/>
        <color theme="1"/>
        <rFont val="Cambria"/>
        <family val="1"/>
        <charset val="204"/>
        <scheme val="major"/>
      </rPr>
      <t xml:space="preserve"> рублей</t>
    </r>
  </si>
  <si>
    <t>Выполнение плана посещений с проф и иными целями и обращений по заболеванию, %</t>
  </si>
  <si>
    <r>
      <rPr>
        <b/>
        <sz val="16"/>
        <color theme="1"/>
        <rFont val="Cambria"/>
        <family val="1"/>
        <charset val="204"/>
        <scheme val="major"/>
      </rPr>
      <t xml:space="preserve">Коэффициент </t>
    </r>
    <r>
      <rPr>
        <sz val="16"/>
        <color theme="1"/>
        <rFont val="Cambria"/>
        <family val="1"/>
        <charset val="204"/>
        <scheme val="major"/>
      </rPr>
      <t>с учетом выполнения плана посещений с проф и иными целями и обращений по заболеванию (К об.)</t>
    </r>
  </si>
  <si>
    <t>Показатель смертности, "-" снижение, "+" увеличение, %</t>
  </si>
  <si>
    <t>Коэффициент с учетом выполнения показателя смертности (К см.)</t>
  </si>
  <si>
    <t>Размер стимулирующих выплат с учетом показателей результативности деятельности медицинских организаций и выполнения показателей по объемам медицинской помощи и по смертности прикрепленного населения, рублей</t>
  </si>
  <si>
    <t>Отклонение: гр.17 - гр.24, рублей</t>
  </si>
  <si>
    <t xml:space="preserve">Коментарий к размеру начисленных стимулирующих  выплат </t>
  </si>
  <si>
    <t>Максимальная сумма баллов</t>
  </si>
  <si>
    <t>Фактическая сумма баллов</t>
  </si>
  <si>
    <t>Максимальное количество показателей</t>
  </si>
  <si>
    <t>Фактически выполнено показателей</t>
  </si>
  <si>
    <t>Выполнение показателей, %</t>
  </si>
  <si>
    <t>Группа</t>
  </si>
  <si>
    <t>Всего</t>
  </si>
  <si>
    <t>СОГАЗ</t>
  </si>
  <si>
    <t>АЛЬФА</t>
  </si>
  <si>
    <t>ГОБУЗ "МОКБ"</t>
  </si>
  <si>
    <t>041</t>
  </si>
  <si>
    <t xml:space="preserve"> 1 группа  </t>
  </si>
  <si>
    <t>ГОБУЗ "Апатитско-Кировская ЦГБ"</t>
  </si>
  <si>
    <t>007</t>
  </si>
  <si>
    <t>2  группа  К об. = 1,00  К см. = 1,00</t>
  </si>
  <si>
    <t>ГОБУЗ "Кандалакшская ЦРБ"</t>
  </si>
  <si>
    <t>009</t>
  </si>
  <si>
    <t>ГОБУЗ "Кольская ЦРБ"</t>
  </si>
  <si>
    <t>013</t>
  </si>
  <si>
    <t>3 группа  К об. = 1,00  К см. = 0,95</t>
  </si>
  <si>
    <t>ГОБУЗ "Ловозерская ЦРБ"</t>
  </si>
  <si>
    <t>014</t>
  </si>
  <si>
    <t>2 группа  К об. = 1,00  К см. = 0,95</t>
  </si>
  <si>
    <t>ГОАУЗ "Мончегорская ЦРБ"</t>
  </si>
  <si>
    <t>045</t>
  </si>
  <si>
    <t xml:space="preserve"> 2 группа  К об. = 0,75  К см. = 1,00</t>
  </si>
  <si>
    <t>ГОБУЗ "Оленегорская ЦГБ"</t>
  </si>
  <si>
    <t>046</t>
  </si>
  <si>
    <t>2 группа  К об. = 1,00  К см. = 0,90</t>
  </si>
  <si>
    <t>ГОБУЗ "Печенгская ЦРБ"</t>
  </si>
  <si>
    <t>010</t>
  </si>
  <si>
    <r>
      <t xml:space="preserve"> 3 группа  К об. = 0,75  </t>
    </r>
    <r>
      <rPr>
        <b/>
        <sz val="16"/>
        <color theme="1"/>
        <rFont val="Cambria"/>
        <family val="1"/>
        <charset val="204"/>
        <scheme val="major"/>
      </rPr>
      <t>К см. = 0,00</t>
    </r>
  </si>
  <si>
    <t>ГОБУЗ "ЦРБ ЗАТО г.Североморск"</t>
  </si>
  <si>
    <t>008</t>
  </si>
  <si>
    <t>3 группа  К об. = 1,00  К см. = 1,00</t>
  </si>
  <si>
    <t>ГОБУЗ "МГП № 1"</t>
  </si>
  <si>
    <t>101</t>
  </si>
  <si>
    <t>ГОБУЗ "МГП № 2"</t>
  </si>
  <si>
    <t>102</t>
  </si>
  <si>
    <t>2 группа  К об. = 1,00  К см. = 1,00</t>
  </si>
  <si>
    <t>ГОБУЗ "ДП № 1"</t>
  </si>
  <si>
    <t>098</t>
  </si>
  <si>
    <t>ГОБУЗ "ДП № 4"</t>
  </si>
  <si>
    <t>109</t>
  </si>
  <si>
    <t>ГОБУЗ "ДП № 5"</t>
  </si>
  <si>
    <t>152</t>
  </si>
  <si>
    <t>ФГБУЗ "ММЦ" ФМБА</t>
  </si>
  <si>
    <t>030</t>
  </si>
  <si>
    <t>ФГБУЗ "МСЧ № 118" ФМБА</t>
  </si>
  <si>
    <t>037</t>
  </si>
  <si>
    <t>ФГБУЗ "ЦМСЧ № 120" ФМБА</t>
  </si>
  <si>
    <t>038</t>
  </si>
  <si>
    <t>2 группа  К об. = 0,90  К см. = 1,00</t>
  </si>
  <si>
    <t>ФГБУН "КНЦ РАН"</t>
  </si>
  <si>
    <t>050</t>
  </si>
  <si>
    <t>ФКУЗ "МСЧ МВД"</t>
  </si>
  <si>
    <t>168</t>
  </si>
  <si>
    <t>ЧУЗ "ПК РЖД" г.Мурманск</t>
  </si>
  <si>
    <t>051</t>
  </si>
  <si>
    <t>ЧУЗ "РЖД-Медицина" г.Кандалакша</t>
  </si>
  <si>
    <t>052</t>
  </si>
  <si>
    <t>ИТОГО</t>
  </si>
  <si>
    <t>Нераспределенная сумма, рублей</t>
  </si>
  <si>
    <t>1 группа</t>
  </si>
  <si>
    <t>2 группа</t>
  </si>
  <si>
    <t>3 группа</t>
  </si>
  <si>
    <t>Cовокупный объем средств на стимулирование медицинских организаций, рублей</t>
  </si>
  <si>
    <t>Объем средств, используемый при распределении 70% от объема средств на стимулирование медицинских организаций (II и III группы), рублей</t>
  </si>
  <si>
    <r>
      <t xml:space="preserve">Объем средств, используемый при распределении 70% от утвержденной суммы на стимулирование медицинских организаций, </t>
    </r>
    <r>
      <rPr>
        <b/>
        <sz val="16"/>
        <color theme="1"/>
        <rFont val="Cambria"/>
        <family val="1"/>
        <charset val="204"/>
        <scheme val="major"/>
      </rPr>
      <t xml:space="preserve">в расчете на 1 прикрепленное лицо </t>
    </r>
    <r>
      <rPr>
        <sz val="16"/>
        <color theme="1"/>
        <rFont val="Cambria"/>
        <family val="1"/>
        <charset val="204"/>
        <scheme val="major"/>
      </rPr>
      <t>(II и III группы), рублей</t>
    </r>
  </si>
  <si>
    <t>Объем средств, используемый при распределении 30% от объема средств на стимулирование медицинских организаций (3 группа), рублей</t>
  </si>
  <si>
    <r>
      <t xml:space="preserve">Объем средств, используемый при распределении 30% от объема средств на стимулирование медицинских организаций, </t>
    </r>
    <r>
      <rPr>
        <b/>
        <sz val="16"/>
        <color theme="1"/>
        <rFont val="Cambria"/>
        <family val="1"/>
        <charset val="204"/>
        <scheme val="major"/>
      </rPr>
      <t>в расчете на 1 балл</t>
    </r>
    <r>
      <rPr>
        <sz val="16"/>
        <color theme="1"/>
        <rFont val="Cambria"/>
        <family val="1"/>
        <charset val="204"/>
        <scheme val="major"/>
      </rPr>
      <t xml:space="preserve"> (3 группа), рублей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</si>
</sst>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00"/>
    <numFmt numFmtId="166" formatCode="#,##0.000"/>
  </numFmts>
  <fonts count="11"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i/>
      <sz val="16"/>
      <color theme="1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6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/>
    <xf numFmtId="0" fontId="5" fillId="0" borderId="2" xfId="0" applyFont="1" applyBorder="1"/>
    <xf numFmtId="0" fontId="2" fillId="0" borderId="0" xfId="0" applyFont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3" fontId="1" fillId="0" borderId="6" xfId="0" applyNumberFormat="1" applyFont="1" applyBorder="1"/>
    <xf numFmtId="4" fontId="5" fillId="0" borderId="0" xfId="0" applyNumberFormat="1" applyFont="1"/>
    <xf numFmtId="0" fontId="10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3" fontId="1" fillId="0" borderId="2" xfId="0" applyNumberFormat="1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Обычный" xfId="0" builtinId="0"/>
    <cellStyle name="Обычный 14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AE37"/>
  <sheetViews>
    <sheetView tabSelected="1" zoomScale="40" zoomScaleNormal="40" workbookViewId="0">
      <pane xSplit="9" ySplit="8" topLeftCell="J13" activePane="bottomRight" state="frozen"/>
      <selection pane="topRight" activeCell="J1" sqref="J1"/>
      <selection pane="bottomLeft" activeCell="A9" sqref="A9"/>
      <selection pane="bottomRight" activeCell="A3" sqref="A3:M3"/>
    </sheetView>
  </sheetViews>
  <sheetFormatPr defaultColWidth="9.140625" defaultRowHeight="14.25"/>
  <cols>
    <col min="1" max="1" width="5.85546875" style="2" customWidth="1"/>
    <col min="2" max="2" width="60.7109375" style="2" customWidth="1"/>
    <col min="3" max="3" width="9.7109375" style="2" customWidth="1"/>
    <col min="4" max="4" width="23" style="2" customWidth="1"/>
    <col min="5" max="5" width="22.85546875" style="2" customWidth="1"/>
    <col min="6" max="6" width="24.7109375" style="2" customWidth="1"/>
    <col min="7" max="7" width="20.5703125" style="2" customWidth="1"/>
    <col min="8" max="8" width="20.85546875" style="2" customWidth="1"/>
    <col min="9" max="9" width="13.42578125" style="2" customWidth="1"/>
    <col min="10" max="10" width="29" style="2" customWidth="1"/>
    <col min="11" max="11" width="40.28515625" style="2" customWidth="1"/>
    <col min="12" max="12" width="28.85546875" style="2" customWidth="1"/>
    <col min="13" max="13" width="27.42578125" style="2" customWidth="1"/>
    <col min="14" max="14" width="33.5703125" style="2" customWidth="1"/>
    <col min="15" max="15" width="32.85546875" style="2" customWidth="1"/>
    <col min="16" max="16" width="30.28515625" style="2" customWidth="1"/>
    <col min="17" max="17" width="31.42578125" style="2" customWidth="1"/>
    <col min="18" max="18" width="24.28515625" style="2" customWidth="1"/>
    <col min="19" max="19" width="24.85546875" style="2" customWidth="1"/>
    <col min="20" max="20" width="23.140625" style="2" customWidth="1"/>
    <col min="21" max="21" width="31" style="2" customWidth="1"/>
    <col min="22" max="22" width="25.5703125" style="2" customWidth="1"/>
    <col min="23" max="23" width="22.28515625" style="2" customWidth="1"/>
    <col min="24" max="24" width="25.85546875" style="2" customWidth="1"/>
    <col min="25" max="25" width="27.42578125" style="2" customWidth="1"/>
    <col min="26" max="26" width="27.85546875" style="2" customWidth="1"/>
    <col min="27" max="27" width="22" style="2" customWidth="1"/>
    <col min="28" max="28" width="55.7109375" style="2" customWidth="1"/>
    <col min="29" max="29" width="17.7109375" style="2" customWidth="1"/>
    <col min="30" max="30" width="16.28515625" style="2" customWidth="1"/>
    <col min="31" max="31" width="15.140625" style="2" customWidth="1"/>
    <col min="32" max="16384" width="9.140625" style="2"/>
  </cols>
  <sheetData>
    <row r="1" spans="1:31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1" ht="64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1" ht="4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AA3" s="7"/>
    </row>
    <row r="4" spans="1:31" ht="19.5" customHeight="1"/>
    <row r="5" spans="1:31" s="8" customFormat="1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8" customFormat="1" ht="133.5" customHeight="1">
      <c r="A6" s="9" t="s">
        <v>2</v>
      </c>
      <c r="B6" s="9" t="s">
        <v>3</v>
      </c>
      <c r="C6" s="10" t="s">
        <v>4</v>
      </c>
      <c r="D6" s="10" t="s">
        <v>5</v>
      </c>
      <c r="E6" s="10"/>
      <c r="F6" s="10"/>
      <c r="G6" s="10"/>
      <c r="H6" s="10"/>
      <c r="I6" s="10"/>
      <c r="J6" s="11" t="s">
        <v>6</v>
      </c>
      <c r="K6" s="12" t="s">
        <v>7</v>
      </c>
      <c r="L6" s="13"/>
      <c r="M6" s="14"/>
      <c r="N6" s="12" t="s">
        <v>8</v>
      </c>
      <c r="O6" s="13"/>
      <c r="P6" s="14"/>
      <c r="Q6" s="12" t="s">
        <v>9</v>
      </c>
      <c r="R6" s="13"/>
      <c r="S6" s="14"/>
      <c r="T6" s="11" t="s">
        <v>10</v>
      </c>
      <c r="U6" s="11" t="s">
        <v>11</v>
      </c>
      <c r="V6" s="11" t="s">
        <v>12</v>
      </c>
      <c r="W6" s="11" t="s">
        <v>13</v>
      </c>
      <c r="X6" s="15" t="s">
        <v>14</v>
      </c>
      <c r="Y6" s="16"/>
      <c r="Z6" s="17"/>
      <c r="AA6" s="11" t="s">
        <v>15</v>
      </c>
      <c r="AB6" s="18" t="s">
        <v>16</v>
      </c>
      <c r="AC6" s="2"/>
      <c r="AD6" s="2"/>
      <c r="AE6" s="2"/>
    </row>
    <row r="7" spans="1:31" s="8" customFormat="1" ht="156" customHeight="1">
      <c r="A7" s="19"/>
      <c r="B7" s="19"/>
      <c r="C7" s="10"/>
      <c r="D7" s="20" t="s">
        <v>17</v>
      </c>
      <c r="E7" s="20" t="s">
        <v>18</v>
      </c>
      <c r="F7" s="20" t="s">
        <v>19</v>
      </c>
      <c r="G7" s="20" t="s">
        <v>20</v>
      </c>
      <c r="H7" s="20" t="s">
        <v>21</v>
      </c>
      <c r="I7" s="21" t="s">
        <v>22</v>
      </c>
      <c r="J7" s="11"/>
      <c r="K7" s="21" t="s">
        <v>23</v>
      </c>
      <c r="L7" s="21" t="s">
        <v>24</v>
      </c>
      <c r="M7" s="21" t="s">
        <v>25</v>
      </c>
      <c r="N7" s="21" t="s">
        <v>23</v>
      </c>
      <c r="O7" s="21" t="s">
        <v>24</v>
      </c>
      <c r="P7" s="21" t="s">
        <v>25</v>
      </c>
      <c r="Q7" s="21" t="s">
        <v>23</v>
      </c>
      <c r="R7" s="21" t="s">
        <v>24</v>
      </c>
      <c r="S7" s="21" t="s">
        <v>25</v>
      </c>
      <c r="T7" s="11"/>
      <c r="U7" s="11"/>
      <c r="V7" s="11"/>
      <c r="W7" s="11"/>
      <c r="X7" s="21" t="s">
        <v>23</v>
      </c>
      <c r="Y7" s="21" t="s">
        <v>24</v>
      </c>
      <c r="Z7" s="21" t="s">
        <v>25</v>
      </c>
      <c r="AA7" s="11"/>
      <c r="AB7" s="22"/>
      <c r="AC7" s="2"/>
      <c r="AD7" s="2"/>
      <c r="AE7" s="2"/>
    </row>
    <row r="8" spans="1:31" s="25" customFormat="1" ht="39.75" customHeight="1">
      <c r="A8" s="23">
        <v>1</v>
      </c>
      <c r="B8" s="23">
        <f>A8+1</f>
        <v>2</v>
      </c>
      <c r="C8" s="23">
        <f t="shared" ref="C8:Z8" si="0">B8+1</f>
        <v>3</v>
      </c>
      <c r="D8" s="23">
        <f t="shared" si="0"/>
        <v>4</v>
      </c>
      <c r="E8" s="23">
        <f t="shared" si="0"/>
        <v>5</v>
      </c>
      <c r="F8" s="23">
        <f t="shared" si="0"/>
        <v>6</v>
      </c>
      <c r="G8" s="23">
        <f t="shared" si="0"/>
        <v>7</v>
      </c>
      <c r="H8" s="23">
        <f t="shared" si="0"/>
        <v>8</v>
      </c>
      <c r="I8" s="23">
        <f t="shared" si="0"/>
        <v>9</v>
      </c>
      <c r="J8" s="23">
        <f t="shared" si="0"/>
        <v>10</v>
      </c>
      <c r="K8" s="23">
        <f t="shared" si="0"/>
        <v>11</v>
      </c>
      <c r="L8" s="23">
        <f t="shared" si="0"/>
        <v>12</v>
      </c>
      <c r="M8" s="23">
        <f t="shared" si="0"/>
        <v>13</v>
      </c>
      <c r="N8" s="23">
        <f t="shared" si="0"/>
        <v>14</v>
      </c>
      <c r="O8" s="23">
        <f t="shared" si="0"/>
        <v>15</v>
      </c>
      <c r="P8" s="23">
        <f t="shared" si="0"/>
        <v>16</v>
      </c>
      <c r="Q8" s="23">
        <f t="shared" si="0"/>
        <v>17</v>
      </c>
      <c r="R8" s="23">
        <f t="shared" si="0"/>
        <v>18</v>
      </c>
      <c r="S8" s="23">
        <f t="shared" si="0"/>
        <v>19</v>
      </c>
      <c r="T8" s="23">
        <f t="shared" si="0"/>
        <v>20</v>
      </c>
      <c r="U8" s="23">
        <f t="shared" si="0"/>
        <v>21</v>
      </c>
      <c r="V8" s="23">
        <f t="shared" si="0"/>
        <v>22</v>
      </c>
      <c r="W8" s="23">
        <f t="shared" si="0"/>
        <v>23</v>
      </c>
      <c r="X8" s="23">
        <f t="shared" si="0"/>
        <v>24</v>
      </c>
      <c r="Y8" s="23">
        <f t="shared" si="0"/>
        <v>25</v>
      </c>
      <c r="Z8" s="23">
        <f t="shared" si="0"/>
        <v>26</v>
      </c>
      <c r="AA8" s="21">
        <v>27</v>
      </c>
      <c r="AB8" s="21">
        <v>28</v>
      </c>
      <c r="AC8" s="24"/>
      <c r="AD8" s="24"/>
      <c r="AE8" s="24"/>
    </row>
    <row r="9" spans="1:31" s="36" customFormat="1" ht="24.95" customHeight="1">
      <c r="A9" s="26">
        <v>1</v>
      </c>
      <c r="B9" s="27" t="s">
        <v>26</v>
      </c>
      <c r="C9" s="28" t="s">
        <v>27</v>
      </c>
      <c r="D9" s="29">
        <v>21</v>
      </c>
      <c r="E9" s="30">
        <v>6.5</v>
      </c>
      <c r="F9" s="29">
        <v>16</v>
      </c>
      <c r="G9" s="29">
        <v>6</v>
      </c>
      <c r="H9" s="29">
        <v>37.5</v>
      </c>
      <c r="I9" s="29">
        <v>1</v>
      </c>
      <c r="J9" s="29">
        <v>1596</v>
      </c>
      <c r="K9" s="31">
        <f>ROUND(IF(OR(I9=2,I9=3),$J$37*J9,0),2)</f>
        <v>0</v>
      </c>
      <c r="L9" s="31">
        <v>0</v>
      </c>
      <c r="M9" s="31">
        <f>K9-L9</f>
        <v>0</v>
      </c>
      <c r="N9" s="31">
        <f>ROUND(IF(AND($J$34=0,I9=2),$L$37/$J$33*J9,IF(AND($J$34&gt;0,I9=3),$N$37*E9,0)),2)</f>
        <v>0</v>
      </c>
      <c r="O9" s="31">
        <v>0</v>
      </c>
      <c r="P9" s="31">
        <f>N9-O9</f>
        <v>0</v>
      </c>
      <c r="Q9" s="31">
        <f>R9+S9</f>
        <v>0</v>
      </c>
      <c r="R9" s="31">
        <f>L9+O9</f>
        <v>0</v>
      </c>
      <c r="S9" s="31">
        <f>M9+P9</f>
        <v>0</v>
      </c>
      <c r="T9" s="29">
        <v>172</v>
      </c>
      <c r="U9" s="32">
        <f t="shared" ref="U9:U29" si="1">IF(T9&gt;=90,1,IF(AND(T9&gt;=70,T9&lt;=89),0.9,IF(AND(T9&gt;=60,T9&lt;=69),0.75,IF(AND(T9&gt;=50,T9&lt;=59),0.5,IF(T9&lt;50,0)))))</f>
        <v>1</v>
      </c>
      <c r="V9" s="33">
        <v>-11</v>
      </c>
      <c r="W9" s="32">
        <f t="shared" ref="W9:W29" si="2">IF(V9&lt;0,1,IF(AND(V9&gt;=0,V9&lt;=5),0.95,IF(AND(V9&gt;=6,V9&lt;=10),0.9,IF(AND(V9&gt;=11,V9&lt;=20),0.8,IF(V9&gt;=21,0)))))</f>
        <v>1</v>
      </c>
      <c r="X9" s="32">
        <f>Y9+Z9</f>
        <v>0</v>
      </c>
      <c r="Y9" s="32">
        <f>ROUND(R9*U9*W9,2)</f>
        <v>0</v>
      </c>
      <c r="Z9" s="32">
        <f>ROUND(S9*U9*W9,2)</f>
        <v>0</v>
      </c>
      <c r="AA9" s="34">
        <f>Q9-X9</f>
        <v>0</v>
      </c>
      <c r="AB9" s="35" t="s">
        <v>28</v>
      </c>
      <c r="AC9" s="2"/>
      <c r="AD9" s="2"/>
      <c r="AE9" s="2"/>
    </row>
    <row r="10" spans="1:31" s="36" customFormat="1" ht="24.95" customHeight="1">
      <c r="A10" s="26">
        <f>A9+1</f>
        <v>2</v>
      </c>
      <c r="B10" s="27" t="s">
        <v>29</v>
      </c>
      <c r="C10" s="28" t="s">
        <v>30</v>
      </c>
      <c r="D10" s="29">
        <v>32</v>
      </c>
      <c r="E10" s="30">
        <v>10.5</v>
      </c>
      <c r="F10" s="29">
        <v>25</v>
      </c>
      <c r="G10" s="29">
        <v>13</v>
      </c>
      <c r="H10" s="29">
        <v>52</v>
      </c>
      <c r="I10" s="29">
        <v>2</v>
      </c>
      <c r="J10" s="29">
        <v>75680</v>
      </c>
      <c r="K10" s="31">
        <f t="shared" ref="K10:K29" si="3">ROUND(IF(OR(I10=2,I10=3),$J$37*J10,0),2)</f>
        <v>3331614.31</v>
      </c>
      <c r="L10" s="31">
        <v>2017369.94</v>
      </c>
      <c r="M10" s="31">
        <f t="shared" ref="M10:M29" si="4">K10-L10</f>
        <v>1314244.3700000001</v>
      </c>
      <c r="N10" s="31">
        <f t="shared" ref="N10:N29" si="5">ROUND(IF(AND($J$34=0,I10=2),$L$37/$J$33*J10,IF(AND($J$34&gt;0,I10=3),$N$37*E10,0)),2)</f>
        <v>0</v>
      </c>
      <c r="O10" s="31">
        <v>0</v>
      </c>
      <c r="P10" s="31">
        <f t="shared" ref="P10:P29" si="6">N10-O10</f>
        <v>0</v>
      </c>
      <c r="Q10" s="31">
        <f t="shared" ref="Q10:Q30" si="7">R10+S10</f>
        <v>3331614.31</v>
      </c>
      <c r="R10" s="31">
        <f t="shared" ref="R10:S29" si="8">L10+O10</f>
        <v>2017369.94</v>
      </c>
      <c r="S10" s="31">
        <f t="shared" si="8"/>
        <v>1314244.3700000001</v>
      </c>
      <c r="T10" s="29">
        <v>95</v>
      </c>
      <c r="U10" s="32">
        <f t="shared" si="1"/>
        <v>1</v>
      </c>
      <c r="V10" s="33">
        <v>-3</v>
      </c>
      <c r="W10" s="32">
        <f t="shared" si="2"/>
        <v>1</v>
      </c>
      <c r="X10" s="32">
        <f t="shared" ref="X10:X29" si="9">Y10+Z10</f>
        <v>3331614.31</v>
      </c>
      <c r="Y10" s="32">
        <f t="shared" ref="Y10:Y29" si="10">ROUND(R10*U10*W10,2)</f>
        <v>2017369.94</v>
      </c>
      <c r="Z10" s="32">
        <f t="shared" ref="Z10:Z29" si="11">ROUND(S10*U10*W10,2)</f>
        <v>1314244.3700000001</v>
      </c>
      <c r="AA10" s="34">
        <f t="shared" ref="AA10:AA29" si="12">Q10-X10</f>
        <v>0</v>
      </c>
      <c r="AB10" s="35" t="s">
        <v>31</v>
      </c>
      <c r="AC10" s="2"/>
      <c r="AD10" s="2"/>
      <c r="AE10" s="2"/>
    </row>
    <row r="11" spans="1:31" s="36" customFormat="1" ht="24.95" customHeight="1">
      <c r="A11" s="26">
        <f t="shared" ref="A11:A29" si="13">A10+1</f>
        <v>3</v>
      </c>
      <c r="B11" s="27" t="s">
        <v>32</v>
      </c>
      <c r="C11" s="28" t="s">
        <v>33</v>
      </c>
      <c r="D11" s="29">
        <v>32</v>
      </c>
      <c r="E11" s="30">
        <v>7.5</v>
      </c>
      <c r="F11" s="29">
        <v>25</v>
      </c>
      <c r="G11" s="29">
        <v>8</v>
      </c>
      <c r="H11" s="29">
        <v>32</v>
      </c>
      <c r="I11" s="29">
        <v>1</v>
      </c>
      <c r="J11" s="29">
        <v>40353</v>
      </c>
      <c r="K11" s="31">
        <f t="shared" si="3"/>
        <v>0</v>
      </c>
      <c r="L11" s="31">
        <v>0</v>
      </c>
      <c r="M11" s="31">
        <f t="shared" si="4"/>
        <v>0</v>
      </c>
      <c r="N11" s="31">
        <f t="shared" si="5"/>
        <v>0</v>
      </c>
      <c r="O11" s="31">
        <v>0</v>
      </c>
      <c r="P11" s="31">
        <f t="shared" si="6"/>
        <v>0</v>
      </c>
      <c r="Q11" s="31">
        <f t="shared" si="7"/>
        <v>0</v>
      </c>
      <c r="R11" s="31">
        <f t="shared" si="8"/>
        <v>0</v>
      </c>
      <c r="S11" s="31">
        <f t="shared" si="8"/>
        <v>0</v>
      </c>
      <c r="T11" s="29">
        <v>78</v>
      </c>
      <c r="U11" s="32">
        <f t="shared" si="1"/>
        <v>0.9</v>
      </c>
      <c r="V11" s="33">
        <v>13</v>
      </c>
      <c r="W11" s="32">
        <f t="shared" si="2"/>
        <v>0.8</v>
      </c>
      <c r="X11" s="32">
        <f t="shared" si="9"/>
        <v>0</v>
      </c>
      <c r="Y11" s="32">
        <f t="shared" si="10"/>
        <v>0</v>
      </c>
      <c r="Z11" s="32">
        <f t="shared" si="11"/>
        <v>0</v>
      </c>
      <c r="AA11" s="34">
        <f t="shared" si="12"/>
        <v>0</v>
      </c>
      <c r="AB11" s="35" t="s">
        <v>28</v>
      </c>
      <c r="AC11" s="2"/>
      <c r="AD11" s="2"/>
      <c r="AE11" s="2"/>
    </row>
    <row r="12" spans="1:31" s="36" customFormat="1" ht="24.95" customHeight="1">
      <c r="A12" s="26">
        <f t="shared" si="13"/>
        <v>4</v>
      </c>
      <c r="B12" s="27" t="s">
        <v>34</v>
      </c>
      <c r="C12" s="28" t="s">
        <v>35</v>
      </c>
      <c r="D12" s="29">
        <v>32</v>
      </c>
      <c r="E12" s="30">
        <v>11.5</v>
      </c>
      <c r="F12" s="29">
        <v>25</v>
      </c>
      <c r="G12" s="29">
        <v>15</v>
      </c>
      <c r="H12" s="29">
        <v>60</v>
      </c>
      <c r="I12" s="29">
        <v>3</v>
      </c>
      <c r="J12" s="29">
        <v>41696</v>
      </c>
      <c r="K12" s="31">
        <f t="shared" si="3"/>
        <v>1835557.48</v>
      </c>
      <c r="L12" s="31">
        <v>1551569.06</v>
      </c>
      <c r="M12" s="31">
        <f t="shared" si="4"/>
        <v>283988.41999999993</v>
      </c>
      <c r="N12" s="31">
        <f t="shared" si="5"/>
        <v>2646661.4</v>
      </c>
      <c r="O12" s="31">
        <v>2237182.9700000002</v>
      </c>
      <c r="P12" s="31">
        <f t="shared" si="6"/>
        <v>409478.4299999997</v>
      </c>
      <c r="Q12" s="31">
        <f t="shared" si="7"/>
        <v>4482218.88</v>
      </c>
      <c r="R12" s="31">
        <f t="shared" si="8"/>
        <v>3788752.0300000003</v>
      </c>
      <c r="S12" s="31">
        <f t="shared" si="8"/>
        <v>693466.84999999963</v>
      </c>
      <c r="T12" s="29">
        <v>115</v>
      </c>
      <c r="U12" s="32">
        <f t="shared" si="1"/>
        <v>1</v>
      </c>
      <c r="V12" s="33">
        <v>0</v>
      </c>
      <c r="W12" s="32">
        <f t="shared" si="2"/>
        <v>0.95</v>
      </c>
      <c r="X12" s="32">
        <f t="shared" si="9"/>
        <v>4258107.9400000004</v>
      </c>
      <c r="Y12" s="32">
        <f t="shared" si="10"/>
        <v>3599314.43</v>
      </c>
      <c r="Z12" s="32">
        <f t="shared" si="11"/>
        <v>658793.51</v>
      </c>
      <c r="AA12" s="34">
        <f t="shared" si="12"/>
        <v>224110.93999999948</v>
      </c>
      <c r="AB12" s="35" t="s">
        <v>36</v>
      </c>
      <c r="AC12" s="2"/>
      <c r="AD12" s="2"/>
      <c r="AE12" s="2"/>
    </row>
    <row r="13" spans="1:31" s="36" customFormat="1" ht="24.95" customHeight="1">
      <c r="A13" s="26">
        <f t="shared" si="13"/>
        <v>5</v>
      </c>
      <c r="B13" s="27" t="s">
        <v>37</v>
      </c>
      <c r="C13" s="28" t="s">
        <v>38</v>
      </c>
      <c r="D13" s="29">
        <v>32</v>
      </c>
      <c r="E13" s="30">
        <v>13</v>
      </c>
      <c r="F13" s="29">
        <v>25</v>
      </c>
      <c r="G13" s="29">
        <v>10</v>
      </c>
      <c r="H13" s="29">
        <v>40</v>
      </c>
      <c r="I13" s="29">
        <v>2</v>
      </c>
      <c r="J13" s="29">
        <v>8995</v>
      </c>
      <c r="K13" s="31">
        <f t="shared" si="3"/>
        <v>395981.38</v>
      </c>
      <c r="L13" s="31">
        <v>33677.129999999997</v>
      </c>
      <c r="M13" s="31">
        <f t="shared" si="4"/>
        <v>362304.25</v>
      </c>
      <c r="N13" s="31">
        <f t="shared" si="5"/>
        <v>0</v>
      </c>
      <c r="O13" s="31">
        <v>0</v>
      </c>
      <c r="P13" s="31">
        <f t="shared" si="6"/>
        <v>0</v>
      </c>
      <c r="Q13" s="31">
        <f t="shared" si="7"/>
        <v>395981.38</v>
      </c>
      <c r="R13" s="31">
        <f t="shared" si="8"/>
        <v>33677.129999999997</v>
      </c>
      <c r="S13" s="31">
        <f t="shared" si="8"/>
        <v>362304.25</v>
      </c>
      <c r="T13" s="29">
        <v>94</v>
      </c>
      <c r="U13" s="32">
        <f t="shared" si="1"/>
        <v>1</v>
      </c>
      <c r="V13" s="33">
        <v>4</v>
      </c>
      <c r="W13" s="32">
        <f t="shared" si="2"/>
        <v>0.95</v>
      </c>
      <c r="X13" s="32">
        <f t="shared" si="9"/>
        <v>376182.31</v>
      </c>
      <c r="Y13" s="32">
        <f t="shared" si="10"/>
        <v>31993.27</v>
      </c>
      <c r="Z13" s="32">
        <f t="shared" si="11"/>
        <v>344189.04</v>
      </c>
      <c r="AA13" s="34">
        <f t="shared" si="12"/>
        <v>19799.070000000007</v>
      </c>
      <c r="AB13" s="35" t="s">
        <v>39</v>
      </c>
      <c r="AC13" s="2"/>
      <c r="AD13" s="2"/>
      <c r="AE13" s="2"/>
    </row>
    <row r="14" spans="1:31" s="36" customFormat="1" ht="24.95" customHeight="1">
      <c r="A14" s="26">
        <f t="shared" si="13"/>
        <v>6</v>
      </c>
      <c r="B14" s="27" t="s">
        <v>40</v>
      </c>
      <c r="C14" s="28" t="s">
        <v>41</v>
      </c>
      <c r="D14" s="29">
        <v>32</v>
      </c>
      <c r="E14" s="30">
        <v>12</v>
      </c>
      <c r="F14" s="29">
        <v>25</v>
      </c>
      <c r="G14" s="29">
        <v>13</v>
      </c>
      <c r="H14" s="29">
        <v>52</v>
      </c>
      <c r="I14" s="29">
        <v>2</v>
      </c>
      <c r="J14" s="29">
        <v>58819</v>
      </c>
      <c r="K14" s="31">
        <f t="shared" si="3"/>
        <v>2589352.83</v>
      </c>
      <c r="L14" s="31">
        <v>743758.24</v>
      </c>
      <c r="M14" s="31">
        <f t="shared" si="4"/>
        <v>1845594.59</v>
      </c>
      <c r="N14" s="31">
        <f t="shared" si="5"/>
        <v>0</v>
      </c>
      <c r="O14" s="31">
        <v>0</v>
      </c>
      <c r="P14" s="31">
        <f t="shared" si="6"/>
        <v>0</v>
      </c>
      <c r="Q14" s="31">
        <f t="shared" si="7"/>
        <v>2589352.83</v>
      </c>
      <c r="R14" s="31">
        <f t="shared" si="8"/>
        <v>743758.24</v>
      </c>
      <c r="S14" s="31">
        <f t="shared" si="8"/>
        <v>1845594.59</v>
      </c>
      <c r="T14" s="29">
        <v>63</v>
      </c>
      <c r="U14" s="32">
        <f t="shared" si="1"/>
        <v>0.75</v>
      </c>
      <c r="V14" s="33">
        <v>-3</v>
      </c>
      <c r="W14" s="32">
        <f t="shared" si="2"/>
        <v>1</v>
      </c>
      <c r="X14" s="32">
        <f t="shared" si="9"/>
        <v>1942014.62</v>
      </c>
      <c r="Y14" s="32">
        <f t="shared" si="10"/>
        <v>557818.68000000005</v>
      </c>
      <c r="Z14" s="32">
        <f t="shared" si="11"/>
        <v>1384195.94</v>
      </c>
      <c r="AA14" s="34">
        <f t="shared" si="12"/>
        <v>647338.21</v>
      </c>
      <c r="AB14" s="35" t="s">
        <v>42</v>
      </c>
      <c r="AC14" s="2"/>
      <c r="AD14" s="2"/>
      <c r="AE14" s="2"/>
    </row>
    <row r="15" spans="1:31" s="36" customFormat="1" ht="24.95" customHeight="1">
      <c r="A15" s="26">
        <f t="shared" si="13"/>
        <v>7</v>
      </c>
      <c r="B15" s="27" t="s">
        <v>43</v>
      </c>
      <c r="C15" s="28" t="s">
        <v>44</v>
      </c>
      <c r="D15" s="29">
        <v>32</v>
      </c>
      <c r="E15" s="30">
        <v>15.5</v>
      </c>
      <c r="F15" s="29">
        <v>25</v>
      </c>
      <c r="G15" s="29">
        <v>14</v>
      </c>
      <c r="H15" s="29">
        <v>56.000000000000007</v>
      </c>
      <c r="I15" s="29">
        <v>2</v>
      </c>
      <c r="J15" s="29">
        <v>24876</v>
      </c>
      <c r="K15" s="31">
        <f t="shared" si="3"/>
        <v>1095100.92</v>
      </c>
      <c r="L15" s="31">
        <v>411345.19</v>
      </c>
      <c r="M15" s="31">
        <f t="shared" si="4"/>
        <v>683755.73</v>
      </c>
      <c r="N15" s="31">
        <f t="shared" si="5"/>
        <v>0</v>
      </c>
      <c r="O15" s="31">
        <v>0</v>
      </c>
      <c r="P15" s="31">
        <f t="shared" si="6"/>
        <v>0</v>
      </c>
      <c r="Q15" s="31">
        <f t="shared" si="7"/>
        <v>1095100.92</v>
      </c>
      <c r="R15" s="31">
        <f t="shared" si="8"/>
        <v>411345.19</v>
      </c>
      <c r="S15" s="31">
        <f t="shared" si="8"/>
        <v>683755.73</v>
      </c>
      <c r="T15" s="29">
        <v>100</v>
      </c>
      <c r="U15" s="32">
        <f t="shared" si="1"/>
        <v>1</v>
      </c>
      <c r="V15" s="33">
        <v>8</v>
      </c>
      <c r="W15" s="32">
        <f t="shared" si="2"/>
        <v>0.9</v>
      </c>
      <c r="X15" s="32">
        <f t="shared" si="9"/>
        <v>985590.83000000007</v>
      </c>
      <c r="Y15" s="32">
        <f t="shared" si="10"/>
        <v>370210.67</v>
      </c>
      <c r="Z15" s="32">
        <f t="shared" si="11"/>
        <v>615380.16</v>
      </c>
      <c r="AA15" s="34">
        <f t="shared" si="12"/>
        <v>109510.08999999985</v>
      </c>
      <c r="AB15" s="35" t="s">
        <v>45</v>
      </c>
      <c r="AC15" s="2"/>
      <c r="AD15" s="2"/>
      <c r="AE15" s="2"/>
    </row>
    <row r="16" spans="1:31" s="36" customFormat="1" ht="24.95" customHeight="1">
      <c r="A16" s="26">
        <f t="shared" si="13"/>
        <v>8</v>
      </c>
      <c r="B16" s="27" t="s">
        <v>46</v>
      </c>
      <c r="C16" s="28" t="s">
        <v>47</v>
      </c>
      <c r="D16" s="29">
        <v>32</v>
      </c>
      <c r="E16" s="30">
        <v>13.5</v>
      </c>
      <c r="F16" s="29">
        <v>25</v>
      </c>
      <c r="G16" s="29">
        <v>15</v>
      </c>
      <c r="H16" s="29">
        <v>60</v>
      </c>
      <c r="I16" s="29">
        <v>3</v>
      </c>
      <c r="J16" s="29">
        <v>29396</v>
      </c>
      <c r="K16" s="31">
        <f t="shared" si="3"/>
        <v>1294082.1100000001</v>
      </c>
      <c r="L16" s="31">
        <v>1282019.98</v>
      </c>
      <c r="M16" s="31">
        <f t="shared" si="4"/>
        <v>12062.130000000121</v>
      </c>
      <c r="N16" s="31">
        <f t="shared" si="5"/>
        <v>3106950.34</v>
      </c>
      <c r="O16" s="31">
        <v>3077990.47</v>
      </c>
      <c r="P16" s="31">
        <f t="shared" si="6"/>
        <v>28959.869999999646</v>
      </c>
      <c r="Q16" s="31">
        <f t="shared" si="7"/>
        <v>4401032.45</v>
      </c>
      <c r="R16" s="31">
        <f t="shared" si="8"/>
        <v>4360010.45</v>
      </c>
      <c r="S16" s="31">
        <f t="shared" si="8"/>
        <v>41021.999999999767</v>
      </c>
      <c r="T16" s="29">
        <v>68</v>
      </c>
      <c r="U16" s="32">
        <f t="shared" si="1"/>
        <v>0.75</v>
      </c>
      <c r="V16" s="33">
        <v>22</v>
      </c>
      <c r="W16" s="32">
        <f t="shared" si="2"/>
        <v>0</v>
      </c>
      <c r="X16" s="32">
        <f t="shared" si="9"/>
        <v>0</v>
      </c>
      <c r="Y16" s="32">
        <f t="shared" si="10"/>
        <v>0</v>
      </c>
      <c r="Z16" s="32">
        <f t="shared" si="11"/>
        <v>0</v>
      </c>
      <c r="AA16" s="34">
        <f t="shared" si="12"/>
        <v>4401032.45</v>
      </c>
      <c r="AB16" s="35" t="s">
        <v>48</v>
      </c>
      <c r="AC16" s="2"/>
      <c r="AD16" s="2"/>
      <c r="AE16" s="2"/>
    </row>
    <row r="17" spans="1:31" s="36" customFormat="1" ht="24.95" customHeight="1">
      <c r="A17" s="26">
        <f t="shared" si="13"/>
        <v>9</v>
      </c>
      <c r="B17" s="27" t="s">
        <v>49</v>
      </c>
      <c r="C17" s="28" t="s">
        <v>50</v>
      </c>
      <c r="D17" s="29">
        <v>32</v>
      </c>
      <c r="E17" s="30">
        <v>11.5</v>
      </c>
      <c r="F17" s="29">
        <v>25</v>
      </c>
      <c r="G17" s="29">
        <v>15</v>
      </c>
      <c r="H17" s="29">
        <v>60</v>
      </c>
      <c r="I17" s="29">
        <v>3</v>
      </c>
      <c r="J17" s="29">
        <v>44904</v>
      </c>
      <c r="K17" s="31">
        <f t="shared" si="3"/>
        <v>1976781.3</v>
      </c>
      <c r="L17" s="31">
        <v>1140576.04</v>
      </c>
      <c r="M17" s="31">
        <f t="shared" si="4"/>
        <v>836205.26</v>
      </c>
      <c r="N17" s="31">
        <f t="shared" si="5"/>
        <v>2646661.4</v>
      </c>
      <c r="O17" s="31">
        <v>1527087.79</v>
      </c>
      <c r="P17" s="31">
        <f t="shared" si="6"/>
        <v>1119573.6099999999</v>
      </c>
      <c r="Q17" s="31">
        <f t="shared" si="7"/>
        <v>4623442.7</v>
      </c>
      <c r="R17" s="31">
        <f t="shared" si="8"/>
        <v>2667663.83</v>
      </c>
      <c r="S17" s="31">
        <f t="shared" si="8"/>
        <v>1955778.8699999999</v>
      </c>
      <c r="T17" s="29">
        <v>96</v>
      </c>
      <c r="U17" s="32">
        <f t="shared" si="1"/>
        <v>1</v>
      </c>
      <c r="V17" s="33">
        <v>-7</v>
      </c>
      <c r="W17" s="32">
        <f t="shared" si="2"/>
        <v>1</v>
      </c>
      <c r="X17" s="32">
        <f t="shared" si="9"/>
        <v>4623442.7</v>
      </c>
      <c r="Y17" s="32">
        <f t="shared" si="10"/>
        <v>2667663.83</v>
      </c>
      <c r="Z17" s="32">
        <f t="shared" si="11"/>
        <v>1955778.87</v>
      </c>
      <c r="AA17" s="34">
        <f t="shared" si="12"/>
        <v>0</v>
      </c>
      <c r="AB17" s="35" t="s">
        <v>51</v>
      </c>
      <c r="AC17" s="2"/>
      <c r="AD17" s="2"/>
      <c r="AE17" s="2"/>
    </row>
    <row r="18" spans="1:31" s="36" customFormat="1" ht="24.95" customHeight="1">
      <c r="A18" s="26">
        <f t="shared" si="13"/>
        <v>10</v>
      </c>
      <c r="B18" s="27" t="s">
        <v>52</v>
      </c>
      <c r="C18" s="28" t="s">
        <v>53</v>
      </c>
      <c r="D18" s="29">
        <v>24</v>
      </c>
      <c r="E18" s="30">
        <v>10</v>
      </c>
      <c r="F18" s="29">
        <v>18</v>
      </c>
      <c r="G18" s="29">
        <v>12</v>
      </c>
      <c r="H18" s="29">
        <v>66.666666666666657</v>
      </c>
      <c r="I18" s="29">
        <v>3</v>
      </c>
      <c r="J18" s="29">
        <v>114723</v>
      </c>
      <c r="K18" s="31">
        <f t="shared" si="3"/>
        <v>5050380.3899999997</v>
      </c>
      <c r="L18" s="31">
        <v>3980328.21</v>
      </c>
      <c r="M18" s="31">
        <f t="shared" si="4"/>
        <v>1070052.1799999997</v>
      </c>
      <c r="N18" s="31">
        <f t="shared" si="5"/>
        <v>2301444.69</v>
      </c>
      <c r="O18" s="31">
        <v>1813824.8</v>
      </c>
      <c r="P18" s="31">
        <f t="shared" si="6"/>
        <v>487619.8899999999</v>
      </c>
      <c r="Q18" s="31">
        <f t="shared" si="7"/>
        <v>7351825.0799999991</v>
      </c>
      <c r="R18" s="31">
        <f t="shared" si="8"/>
        <v>5794153.0099999998</v>
      </c>
      <c r="S18" s="31">
        <f t="shared" si="8"/>
        <v>1557672.0699999996</v>
      </c>
      <c r="T18" s="29">
        <v>101</v>
      </c>
      <c r="U18" s="32">
        <f t="shared" si="1"/>
        <v>1</v>
      </c>
      <c r="V18" s="33">
        <v>-3</v>
      </c>
      <c r="W18" s="32">
        <f t="shared" si="2"/>
        <v>1</v>
      </c>
      <c r="X18" s="32">
        <f t="shared" si="9"/>
        <v>7351825.0800000001</v>
      </c>
      <c r="Y18" s="32">
        <f t="shared" si="10"/>
        <v>5794153.0099999998</v>
      </c>
      <c r="Z18" s="32">
        <f t="shared" si="11"/>
        <v>1557672.07</v>
      </c>
      <c r="AA18" s="34">
        <f t="shared" si="12"/>
        <v>0</v>
      </c>
      <c r="AB18" s="35" t="s">
        <v>51</v>
      </c>
      <c r="AC18" s="2"/>
      <c r="AD18" s="2"/>
      <c r="AE18" s="2"/>
    </row>
    <row r="19" spans="1:31" s="36" customFormat="1" ht="24.95" customHeight="1">
      <c r="A19" s="26">
        <f t="shared" si="13"/>
        <v>11</v>
      </c>
      <c r="B19" s="27" t="s">
        <v>54</v>
      </c>
      <c r="C19" s="28" t="s">
        <v>55</v>
      </c>
      <c r="D19" s="29">
        <v>24</v>
      </c>
      <c r="E19" s="30">
        <v>8</v>
      </c>
      <c r="F19" s="29">
        <v>18</v>
      </c>
      <c r="G19" s="29">
        <v>9</v>
      </c>
      <c r="H19" s="29">
        <v>50</v>
      </c>
      <c r="I19" s="29">
        <v>2</v>
      </c>
      <c r="J19" s="29">
        <v>93947</v>
      </c>
      <c r="K19" s="31">
        <f t="shared" si="3"/>
        <v>4135771.26</v>
      </c>
      <c r="L19" s="31">
        <v>3152355.14</v>
      </c>
      <c r="M19" s="31">
        <f t="shared" si="4"/>
        <v>983416.11999999965</v>
      </c>
      <c r="N19" s="31">
        <f t="shared" si="5"/>
        <v>0</v>
      </c>
      <c r="O19" s="31">
        <v>0</v>
      </c>
      <c r="P19" s="31">
        <f t="shared" si="6"/>
        <v>0</v>
      </c>
      <c r="Q19" s="31">
        <f t="shared" si="7"/>
        <v>4135771.26</v>
      </c>
      <c r="R19" s="31">
        <f t="shared" si="8"/>
        <v>3152355.14</v>
      </c>
      <c r="S19" s="31">
        <f t="shared" si="8"/>
        <v>983416.11999999965</v>
      </c>
      <c r="T19" s="29">
        <v>127</v>
      </c>
      <c r="U19" s="32">
        <f t="shared" si="1"/>
        <v>1</v>
      </c>
      <c r="V19" s="33">
        <v>-5</v>
      </c>
      <c r="W19" s="32">
        <f t="shared" si="2"/>
        <v>1</v>
      </c>
      <c r="X19" s="32">
        <f t="shared" si="9"/>
        <v>4135771.2600000002</v>
      </c>
      <c r="Y19" s="32">
        <f t="shared" si="10"/>
        <v>3152355.14</v>
      </c>
      <c r="Z19" s="32">
        <f t="shared" si="11"/>
        <v>983416.12</v>
      </c>
      <c r="AA19" s="34">
        <f t="shared" si="12"/>
        <v>0</v>
      </c>
      <c r="AB19" s="35" t="s">
        <v>56</v>
      </c>
      <c r="AC19" s="2"/>
      <c r="AD19" s="2"/>
      <c r="AE19" s="2"/>
    </row>
    <row r="20" spans="1:31" s="36" customFormat="1" ht="24.95" customHeight="1">
      <c r="A20" s="26">
        <f t="shared" si="13"/>
        <v>12</v>
      </c>
      <c r="B20" s="27" t="s">
        <v>57</v>
      </c>
      <c r="C20" s="28" t="s">
        <v>58</v>
      </c>
      <c r="D20" s="29">
        <v>7</v>
      </c>
      <c r="E20" s="30">
        <v>1.5</v>
      </c>
      <c r="F20" s="29">
        <v>6</v>
      </c>
      <c r="G20" s="29">
        <v>2</v>
      </c>
      <c r="H20" s="29">
        <v>33.333333333333329</v>
      </c>
      <c r="I20" s="29">
        <v>1</v>
      </c>
      <c r="J20" s="29">
        <v>22288</v>
      </c>
      <c r="K20" s="31">
        <f t="shared" si="3"/>
        <v>0</v>
      </c>
      <c r="L20" s="31">
        <v>0</v>
      </c>
      <c r="M20" s="31">
        <f t="shared" si="4"/>
        <v>0</v>
      </c>
      <c r="N20" s="31">
        <f t="shared" si="5"/>
        <v>0</v>
      </c>
      <c r="O20" s="31">
        <v>0</v>
      </c>
      <c r="P20" s="31">
        <f t="shared" si="6"/>
        <v>0</v>
      </c>
      <c r="Q20" s="31">
        <f t="shared" si="7"/>
        <v>0</v>
      </c>
      <c r="R20" s="31">
        <f t="shared" si="8"/>
        <v>0</v>
      </c>
      <c r="S20" s="31">
        <f t="shared" si="8"/>
        <v>0</v>
      </c>
      <c r="T20" s="29">
        <v>120</v>
      </c>
      <c r="U20" s="32">
        <f t="shared" si="1"/>
        <v>1</v>
      </c>
      <c r="V20" s="33">
        <v>-23</v>
      </c>
      <c r="W20" s="32">
        <f t="shared" si="2"/>
        <v>1</v>
      </c>
      <c r="X20" s="32">
        <f t="shared" si="9"/>
        <v>0</v>
      </c>
      <c r="Y20" s="32">
        <f t="shared" si="10"/>
        <v>0</v>
      </c>
      <c r="Z20" s="32">
        <f t="shared" si="11"/>
        <v>0</v>
      </c>
      <c r="AA20" s="34">
        <f t="shared" si="12"/>
        <v>0</v>
      </c>
      <c r="AB20" s="35" t="s">
        <v>28</v>
      </c>
      <c r="AC20" s="2"/>
      <c r="AD20" s="2"/>
      <c r="AE20" s="2"/>
    </row>
    <row r="21" spans="1:31" s="36" customFormat="1" ht="24.95" customHeight="1">
      <c r="A21" s="26">
        <f t="shared" si="13"/>
        <v>13</v>
      </c>
      <c r="B21" s="27" t="s">
        <v>59</v>
      </c>
      <c r="C21" s="28" t="s">
        <v>60</v>
      </c>
      <c r="D21" s="29">
        <v>7</v>
      </c>
      <c r="E21" s="30">
        <v>2.5</v>
      </c>
      <c r="F21" s="29">
        <v>6</v>
      </c>
      <c r="G21" s="29">
        <v>3</v>
      </c>
      <c r="H21" s="29">
        <v>50</v>
      </c>
      <c r="I21" s="29">
        <v>2</v>
      </c>
      <c r="J21" s="29">
        <v>16465</v>
      </c>
      <c r="K21" s="31">
        <f t="shared" si="3"/>
        <v>724828.61</v>
      </c>
      <c r="L21" s="31">
        <v>579730.81999999995</v>
      </c>
      <c r="M21" s="31">
        <f t="shared" si="4"/>
        <v>145097.79000000004</v>
      </c>
      <c r="N21" s="31">
        <f t="shared" si="5"/>
        <v>0</v>
      </c>
      <c r="O21" s="31">
        <v>0</v>
      </c>
      <c r="P21" s="31">
        <f t="shared" si="6"/>
        <v>0</v>
      </c>
      <c r="Q21" s="31">
        <f t="shared" si="7"/>
        <v>724828.61</v>
      </c>
      <c r="R21" s="31">
        <f t="shared" si="8"/>
        <v>579730.81999999995</v>
      </c>
      <c r="S21" s="31">
        <f t="shared" si="8"/>
        <v>145097.79000000004</v>
      </c>
      <c r="T21" s="29">
        <v>106</v>
      </c>
      <c r="U21" s="32">
        <f t="shared" si="1"/>
        <v>1</v>
      </c>
      <c r="V21" s="33">
        <v>-49</v>
      </c>
      <c r="W21" s="32">
        <f t="shared" si="2"/>
        <v>1</v>
      </c>
      <c r="X21" s="32">
        <f t="shared" si="9"/>
        <v>724828.61</v>
      </c>
      <c r="Y21" s="32">
        <f t="shared" si="10"/>
        <v>579730.81999999995</v>
      </c>
      <c r="Z21" s="32">
        <f t="shared" si="11"/>
        <v>145097.79</v>
      </c>
      <c r="AA21" s="34">
        <f t="shared" si="12"/>
        <v>0</v>
      </c>
      <c r="AB21" s="35" t="s">
        <v>56</v>
      </c>
      <c r="AC21" s="2"/>
      <c r="AD21" s="2"/>
      <c r="AE21" s="2"/>
    </row>
    <row r="22" spans="1:31" s="36" customFormat="1" ht="24.95" customHeight="1">
      <c r="A22" s="26">
        <f t="shared" si="13"/>
        <v>14</v>
      </c>
      <c r="B22" s="27" t="s">
        <v>61</v>
      </c>
      <c r="C22" s="28" t="s">
        <v>62</v>
      </c>
      <c r="D22" s="29">
        <v>7</v>
      </c>
      <c r="E22" s="30">
        <v>3</v>
      </c>
      <c r="F22" s="29">
        <v>6</v>
      </c>
      <c r="G22" s="29">
        <v>4</v>
      </c>
      <c r="H22" s="29">
        <v>66.666666666666657</v>
      </c>
      <c r="I22" s="29">
        <v>3</v>
      </c>
      <c r="J22" s="29">
        <v>16617</v>
      </c>
      <c r="K22" s="31">
        <f t="shared" si="3"/>
        <v>731520.02</v>
      </c>
      <c r="L22" s="31">
        <v>586906.48</v>
      </c>
      <c r="M22" s="31">
        <f t="shared" si="4"/>
        <v>144613.54000000004</v>
      </c>
      <c r="N22" s="31">
        <f t="shared" si="5"/>
        <v>690433.41</v>
      </c>
      <c r="O22" s="31">
        <v>553942.24</v>
      </c>
      <c r="P22" s="31">
        <f t="shared" si="6"/>
        <v>136491.17000000004</v>
      </c>
      <c r="Q22" s="31">
        <f t="shared" si="7"/>
        <v>1421953.4300000002</v>
      </c>
      <c r="R22" s="31">
        <f t="shared" si="8"/>
        <v>1140848.72</v>
      </c>
      <c r="S22" s="31">
        <f t="shared" si="8"/>
        <v>281104.71000000008</v>
      </c>
      <c r="T22" s="29">
        <v>117</v>
      </c>
      <c r="U22" s="32">
        <f t="shared" si="1"/>
        <v>1</v>
      </c>
      <c r="V22" s="33">
        <v>2</v>
      </c>
      <c r="W22" s="32">
        <f t="shared" si="2"/>
        <v>0.95</v>
      </c>
      <c r="X22" s="32">
        <f t="shared" si="9"/>
        <v>1350855.75</v>
      </c>
      <c r="Y22" s="32">
        <f t="shared" si="10"/>
        <v>1083806.28</v>
      </c>
      <c r="Z22" s="32">
        <f t="shared" si="11"/>
        <v>267049.46999999997</v>
      </c>
      <c r="AA22" s="34">
        <f t="shared" si="12"/>
        <v>71097.680000000168</v>
      </c>
      <c r="AB22" s="35" t="s">
        <v>36</v>
      </c>
      <c r="AC22" s="2"/>
      <c r="AD22" s="2"/>
      <c r="AE22" s="2"/>
    </row>
    <row r="23" spans="1:31" s="36" customFormat="1" ht="24.95" customHeight="1">
      <c r="A23" s="26">
        <f t="shared" si="13"/>
        <v>15</v>
      </c>
      <c r="B23" s="27" t="s">
        <v>63</v>
      </c>
      <c r="C23" s="28" t="s">
        <v>64</v>
      </c>
      <c r="D23" s="29">
        <v>32</v>
      </c>
      <c r="E23" s="30">
        <v>11.5</v>
      </c>
      <c r="F23" s="29">
        <v>25</v>
      </c>
      <c r="G23" s="29">
        <v>12</v>
      </c>
      <c r="H23" s="29">
        <v>48</v>
      </c>
      <c r="I23" s="29">
        <v>2</v>
      </c>
      <c r="J23" s="29">
        <v>12113</v>
      </c>
      <c r="K23" s="31">
        <f t="shared" si="3"/>
        <v>533243.18000000005</v>
      </c>
      <c r="L23" s="31">
        <v>371813.08</v>
      </c>
      <c r="M23" s="31">
        <f t="shared" si="4"/>
        <v>161430.10000000003</v>
      </c>
      <c r="N23" s="31">
        <f t="shared" si="5"/>
        <v>0</v>
      </c>
      <c r="O23" s="31">
        <v>0</v>
      </c>
      <c r="P23" s="31">
        <f t="shared" si="6"/>
        <v>0</v>
      </c>
      <c r="Q23" s="31">
        <f t="shared" si="7"/>
        <v>533243.18000000005</v>
      </c>
      <c r="R23" s="31">
        <f t="shared" si="8"/>
        <v>371813.08</v>
      </c>
      <c r="S23" s="31">
        <f t="shared" si="8"/>
        <v>161430.10000000003</v>
      </c>
      <c r="T23" s="29">
        <v>101</v>
      </c>
      <c r="U23" s="32">
        <f t="shared" si="1"/>
        <v>1</v>
      </c>
      <c r="V23" s="33">
        <v>-38</v>
      </c>
      <c r="W23" s="32">
        <f t="shared" si="2"/>
        <v>1</v>
      </c>
      <c r="X23" s="32">
        <f t="shared" si="9"/>
        <v>533243.18000000005</v>
      </c>
      <c r="Y23" s="32">
        <f t="shared" si="10"/>
        <v>371813.08</v>
      </c>
      <c r="Z23" s="32">
        <f t="shared" si="11"/>
        <v>161430.1</v>
      </c>
      <c r="AA23" s="34">
        <f t="shared" si="12"/>
        <v>0</v>
      </c>
      <c r="AB23" s="35" t="s">
        <v>56</v>
      </c>
      <c r="AC23" s="2"/>
      <c r="AD23" s="2"/>
      <c r="AE23" s="2"/>
    </row>
    <row r="24" spans="1:31" s="36" customFormat="1" ht="24.95" customHeight="1">
      <c r="A24" s="26">
        <f t="shared" si="13"/>
        <v>16</v>
      </c>
      <c r="B24" s="27" t="s">
        <v>65</v>
      </c>
      <c r="C24" s="28" t="s">
        <v>66</v>
      </c>
      <c r="D24" s="29">
        <v>32</v>
      </c>
      <c r="E24" s="30">
        <v>15</v>
      </c>
      <c r="F24" s="29">
        <v>25</v>
      </c>
      <c r="G24" s="29">
        <v>13</v>
      </c>
      <c r="H24" s="29">
        <v>52</v>
      </c>
      <c r="I24" s="29">
        <v>2</v>
      </c>
      <c r="J24" s="29">
        <v>16038</v>
      </c>
      <c r="K24" s="31">
        <f t="shared" si="3"/>
        <v>706031.05</v>
      </c>
      <c r="L24" s="31">
        <v>594082.12</v>
      </c>
      <c r="M24" s="31">
        <f t="shared" si="4"/>
        <v>111948.93000000005</v>
      </c>
      <c r="N24" s="31">
        <f t="shared" si="5"/>
        <v>0</v>
      </c>
      <c r="O24" s="31">
        <v>0</v>
      </c>
      <c r="P24" s="31">
        <f t="shared" si="6"/>
        <v>0</v>
      </c>
      <c r="Q24" s="31">
        <f t="shared" si="7"/>
        <v>706031.05</v>
      </c>
      <c r="R24" s="31">
        <f t="shared" si="8"/>
        <v>594082.12</v>
      </c>
      <c r="S24" s="31">
        <f t="shared" si="8"/>
        <v>111948.93000000005</v>
      </c>
      <c r="T24" s="29">
        <v>92</v>
      </c>
      <c r="U24" s="32">
        <f t="shared" si="1"/>
        <v>1</v>
      </c>
      <c r="V24" s="33">
        <v>-13</v>
      </c>
      <c r="W24" s="32">
        <f t="shared" si="2"/>
        <v>1</v>
      </c>
      <c r="X24" s="32">
        <f t="shared" si="9"/>
        <v>706031.05</v>
      </c>
      <c r="Y24" s="32">
        <f t="shared" si="10"/>
        <v>594082.12</v>
      </c>
      <c r="Z24" s="32">
        <f t="shared" si="11"/>
        <v>111948.93</v>
      </c>
      <c r="AA24" s="34">
        <f t="shared" si="12"/>
        <v>0</v>
      </c>
      <c r="AB24" s="35" t="s">
        <v>56</v>
      </c>
      <c r="AC24" s="2"/>
      <c r="AD24" s="2"/>
      <c r="AE24" s="2"/>
    </row>
    <row r="25" spans="1:31" s="36" customFormat="1" ht="24.95" customHeight="1">
      <c r="A25" s="26">
        <f t="shared" si="13"/>
        <v>17</v>
      </c>
      <c r="B25" s="27" t="s">
        <v>67</v>
      </c>
      <c r="C25" s="28" t="s">
        <v>68</v>
      </c>
      <c r="D25" s="29">
        <v>32</v>
      </c>
      <c r="E25" s="30">
        <v>12.5</v>
      </c>
      <c r="F25" s="29">
        <v>25</v>
      </c>
      <c r="G25" s="29">
        <v>11</v>
      </c>
      <c r="H25" s="29">
        <v>44</v>
      </c>
      <c r="I25" s="29">
        <v>2</v>
      </c>
      <c r="J25" s="29">
        <v>37952</v>
      </c>
      <c r="K25" s="31">
        <f t="shared" si="3"/>
        <v>1670737.66</v>
      </c>
      <c r="L25" s="31">
        <v>500050.3</v>
      </c>
      <c r="M25" s="31">
        <f t="shared" si="4"/>
        <v>1170687.3599999999</v>
      </c>
      <c r="N25" s="31">
        <f t="shared" si="5"/>
        <v>0</v>
      </c>
      <c r="O25" s="31">
        <v>0</v>
      </c>
      <c r="P25" s="31">
        <f t="shared" si="6"/>
        <v>0</v>
      </c>
      <c r="Q25" s="31">
        <f t="shared" si="7"/>
        <v>1670737.66</v>
      </c>
      <c r="R25" s="31">
        <f t="shared" si="8"/>
        <v>500050.3</v>
      </c>
      <c r="S25" s="31">
        <f t="shared" si="8"/>
        <v>1170687.3599999999</v>
      </c>
      <c r="T25" s="29">
        <v>85</v>
      </c>
      <c r="U25" s="32">
        <f t="shared" si="1"/>
        <v>0.9</v>
      </c>
      <c r="V25" s="33">
        <v>-5</v>
      </c>
      <c r="W25" s="32">
        <f t="shared" si="2"/>
        <v>1</v>
      </c>
      <c r="X25" s="32">
        <f t="shared" si="9"/>
        <v>1503663.8900000001</v>
      </c>
      <c r="Y25" s="32">
        <f t="shared" si="10"/>
        <v>450045.27</v>
      </c>
      <c r="Z25" s="32">
        <f t="shared" si="11"/>
        <v>1053618.6200000001</v>
      </c>
      <c r="AA25" s="34">
        <f t="shared" si="12"/>
        <v>167073.76999999979</v>
      </c>
      <c r="AB25" s="35" t="s">
        <v>69</v>
      </c>
      <c r="AC25" s="2"/>
      <c r="AD25" s="2"/>
      <c r="AE25" s="2"/>
    </row>
    <row r="26" spans="1:31" s="36" customFormat="1" ht="24.95" customHeight="1">
      <c r="A26" s="26">
        <f t="shared" si="13"/>
        <v>18</v>
      </c>
      <c r="B26" s="27" t="s">
        <v>70</v>
      </c>
      <c r="C26" s="28" t="s">
        <v>71</v>
      </c>
      <c r="D26" s="29">
        <v>25</v>
      </c>
      <c r="E26" s="30">
        <v>9.5</v>
      </c>
      <c r="F26" s="29">
        <v>19</v>
      </c>
      <c r="G26" s="29">
        <v>9</v>
      </c>
      <c r="H26" s="29">
        <v>47.368421052631575</v>
      </c>
      <c r="I26" s="29">
        <v>2</v>
      </c>
      <c r="J26" s="29">
        <v>5750</v>
      </c>
      <c r="K26" s="31">
        <f t="shared" si="3"/>
        <v>253128.73</v>
      </c>
      <c r="L26" s="31">
        <v>176749.89</v>
      </c>
      <c r="M26" s="31">
        <f t="shared" si="4"/>
        <v>76378.84</v>
      </c>
      <c r="N26" s="31">
        <f t="shared" si="5"/>
        <v>0</v>
      </c>
      <c r="O26" s="31">
        <v>0</v>
      </c>
      <c r="P26" s="31">
        <f t="shared" si="6"/>
        <v>0</v>
      </c>
      <c r="Q26" s="31">
        <f t="shared" si="7"/>
        <v>253128.73</v>
      </c>
      <c r="R26" s="31">
        <f t="shared" si="8"/>
        <v>176749.89</v>
      </c>
      <c r="S26" s="31">
        <f t="shared" si="8"/>
        <v>76378.84</v>
      </c>
      <c r="T26" s="29">
        <v>87</v>
      </c>
      <c r="U26" s="32">
        <f t="shared" si="1"/>
        <v>0.9</v>
      </c>
      <c r="V26" s="33">
        <v>-20</v>
      </c>
      <c r="W26" s="32">
        <f t="shared" si="2"/>
        <v>1</v>
      </c>
      <c r="X26" s="32">
        <f t="shared" si="9"/>
        <v>227815.86</v>
      </c>
      <c r="Y26" s="32">
        <f t="shared" si="10"/>
        <v>159074.9</v>
      </c>
      <c r="Z26" s="32">
        <f t="shared" si="11"/>
        <v>68740.960000000006</v>
      </c>
      <c r="AA26" s="34">
        <f t="shared" si="12"/>
        <v>25312.870000000024</v>
      </c>
      <c r="AB26" s="35" t="s">
        <v>69</v>
      </c>
      <c r="AC26" s="2"/>
      <c r="AD26" s="2"/>
      <c r="AE26" s="2"/>
    </row>
    <row r="27" spans="1:31" s="36" customFormat="1" ht="24.95" customHeight="1">
      <c r="A27" s="26">
        <f t="shared" si="13"/>
        <v>19</v>
      </c>
      <c r="B27" s="27" t="s">
        <v>72</v>
      </c>
      <c r="C27" s="28" t="s">
        <v>73</v>
      </c>
      <c r="D27" s="29">
        <v>21</v>
      </c>
      <c r="E27" s="30">
        <v>3</v>
      </c>
      <c r="F27" s="29">
        <v>16</v>
      </c>
      <c r="G27" s="29">
        <v>3</v>
      </c>
      <c r="H27" s="29">
        <v>19</v>
      </c>
      <c r="I27" s="29">
        <v>1</v>
      </c>
      <c r="J27" s="29">
        <v>3013</v>
      </c>
      <c r="K27" s="31">
        <f t="shared" si="3"/>
        <v>0</v>
      </c>
      <c r="L27" s="31">
        <v>0</v>
      </c>
      <c r="M27" s="31">
        <f t="shared" si="4"/>
        <v>0</v>
      </c>
      <c r="N27" s="31">
        <f t="shared" si="5"/>
        <v>0</v>
      </c>
      <c r="O27" s="31">
        <v>0</v>
      </c>
      <c r="P27" s="31">
        <f t="shared" si="6"/>
        <v>0</v>
      </c>
      <c r="Q27" s="31">
        <f t="shared" si="7"/>
        <v>0</v>
      </c>
      <c r="R27" s="31">
        <f t="shared" si="8"/>
        <v>0</v>
      </c>
      <c r="S27" s="31">
        <f t="shared" si="8"/>
        <v>0</v>
      </c>
      <c r="T27" s="29">
        <v>23</v>
      </c>
      <c r="U27" s="32">
        <f t="shared" si="1"/>
        <v>0</v>
      </c>
      <c r="V27" s="33">
        <v>36</v>
      </c>
      <c r="W27" s="32">
        <f t="shared" si="2"/>
        <v>0</v>
      </c>
      <c r="X27" s="32">
        <f t="shared" si="9"/>
        <v>0</v>
      </c>
      <c r="Y27" s="32">
        <f t="shared" si="10"/>
        <v>0</v>
      </c>
      <c r="Z27" s="32">
        <f t="shared" si="11"/>
        <v>0</v>
      </c>
      <c r="AA27" s="34">
        <f t="shared" si="12"/>
        <v>0</v>
      </c>
      <c r="AB27" s="35" t="s">
        <v>28</v>
      </c>
      <c r="AC27" s="2"/>
      <c r="AD27" s="2"/>
      <c r="AE27" s="2"/>
    </row>
    <row r="28" spans="1:31" s="36" customFormat="1" ht="24.95" customHeight="1">
      <c r="A28" s="26">
        <f t="shared" si="13"/>
        <v>20</v>
      </c>
      <c r="B28" s="37" t="s">
        <v>74</v>
      </c>
      <c r="C28" s="28" t="s">
        <v>75</v>
      </c>
      <c r="D28" s="29">
        <v>21</v>
      </c>
      <c r="E28" s="30">
        <v>7</v>
      </c>
      <c r="F28" s="29">
        <v>16</v>
      </c>
      <c r="G28" s="29">
        <v>6</v>
      </c>
      <c r="H28" s="29">
        <v>37.5</v>
      </c>
      <c r="I28" s="29">
        <v>1</v>
      </c>
      <c r="J28" s="29">
        <v>5268</v>
      </c>
      <c r="K28" s="31">
        <f t="shared" si="3"/>
        <v>0</v>
      </c>
      <c r="L28" s="31">
        <v>0</v>
      </c>
      <c r="M28" s="31">
        <f t="shared" si="4"/>
        <v>0</v>
      </c>
      <c r="N28" s="31">
        <f t="shared" si="5"/>
        <v>0</v>
      </c>
      <c r="O28" s="31">
        <v>0</v>
      </c>
      <c r="P28" s="31">
        <f t="shared" si="6"/>
        <v>0</v>
      </c>
      <c r="Q28" s="31">
        <f t="shared" si="7"/>
        <v>0</v>
      </c>
      <c r="R28" s="31">
        <f t="shared" si="8"/>
        <v>0</v>
      </c>
      <c r="S28" s="31">
        <f t="shared" si="8"/>
        <v>0</v>
      </c>
      <c r="T28" s="29">
        <v>78</v>
      </c>
      <c r="U28" s="32">
        <f t="shared" si="1"/>
        <v>0.9</v>
      </c>
      <c r="V28" s="33">
        <v>-18</v>
      </c>
      <c r="W28" s="32">
        <f t="shared" si="2"/>
        <v>1</v>
      </c>
      <c r="X28" s="32">
        <f t="shared" si="9"/>
        <v>0</v>
      </c>
      <c r="Y28" s="32">
        <f t="shared" si="10"/>
        <v>0</v>
      </c>
      <c r="Z28" s="32">
        <f t="shared" si="11"/>
        <v>0</v>
      </c>
      <c r="AA28" s="34">
        <f t="shared" si="12"/>
        <v>0</v>
      </c>
      <c r="AB28" s="35" t="s">
        <v>28</v>
      </c>
      <c r="AC28" s="2"/>
      <c r="AD28" s="2"/>
      <c r="AE28" s="2"/>
    </row>
    <row r="29" spans="1:31" s="36" customFormat="1" ht="24.95" customHeight="1">
      <c r="A29" s="26">
        <f t="shared" si="13"/>
        <v>21</v>
      </c>
      <c r="B29" s="37" t="s">
        <v>76</v>
      </c>
      <c r="C29" s="28" t="s">
        <v>77</v>
      </c>
      <c r="D29" s="29">
        <v>25</v>
      </c>
      <c r="E29" s="30">
        <v>11.5</v>
      </c>
      <c r="F29" s="29">
        <v>19</v>
      </c>
      <c r="G29" s="29">
        <v>10</v>
      </c>
      <c r="H29" s="29">
        <v>52.631578947368418</v>
      </c>
      <c r="I29" s="29">
        <v>2</v>
      </c>
      <c r="J29" s="29">
        <v>5851</v>
      </c>
      <c r="K29" s="31">
        <f t="shared" si="3"/>
        <v>257574.99</v>
      </c>
      <c r="L29" s="31">
        <v>15231.75</v>
      </c>
      <c r="M29" s="31">
        <f t="shared" si="4"/>
        <v>242343.24</v>
      </c>
      <c r="N29" s="31">
        <f t="shared" si="5"/>
        <v>0</v>
      </c>
      <c r="O29" s="31">
        <v>0</v>
      </c>
      <c r="P29" s="31">
        <f t="shared" si="6"/>
        <v>0</v>
      </c>
      <c r="Q29" s="31">
        <f t="shared" si="7"/>
        <v>257574.99</v>
      </c>
      <c r="R29" s="31">
        <f t="shared" si="8"/>
        <v>15231.75</v>
      </c>
      <c r="S29" s="31">
        <f t="shared" si="8"/>
        <v>242343.24</v>
      </c>
      <c r="T29" s="29">
        <v>86</v>
      </c>
      <c r="U29" s="32">
        <f t="shared" si="1"/>
        <v>0.9</v>
      </c>
      <c r="V29" s="33">
        <v>-1</v>
      </c>
      <c r="W29" s="32">
        <f t="shared" si="2"/>
        <v>1</v>
      </c>
      <c r="X29" s="32">
        <f t="shared" si="9"/>
        <v>231817.5</v>
      </c>
      <c r="Y29" s="32">
        <f t="shared" si="10"/>
        <v>13708.58</v>
      </c>
      <c r="Z29" s="32">
        <f t="shared" si="11"/>
        <v>218108.92</v>
      </c>
      <c r="AA29" s="34">
        <f t="shared" si="12"/>
        <v>25757.489999999991</v>
      </c>
      <c r="AB29" s="35" t="s">
        <v>69</v>
      </c>
      <c r="AC29" s="2"/>
      <c r="AD29" s="2"/>
      <c r="AE29" s="2"/>
    </row>
    <row r="30" spans="1:31" s="45" customFormat="1" ht="32.25" customHeight="1">
      <c r="A30" s="21"/>
      <c r="B30" s="38" t="s">
        <v>78</v>
      </c>
      <c r="C30" s="39"/>
      <c r="D30" s="40">
        <f>SUM(D9:D29)</f>
        <v>534</v>
      </c>
      <c r="E30" s="41">
        <f>SUM(E9:E29)</f>
        <v>196.5</v>
      </c>
      <c r="F30" s="40">
        <f>SUM(F9:F29)</f>
        <v>415</v>
      </c>
      <c r="G30" s="40">
        <f>SUM(G9:G29)</f>
        <v>203</v>
      </c>
      <c r="H30" s="40">
        <f>ROUND(G30/F30*100,0)</f>
        <v>49</v>
      </c>
      <c r="I30" s="42"/>
      <c r="J30" s="40">
        <f>SUM(J9:J29)</f>
        <v>676340</v>
      </c>
      <c r="K30" s="31">
        <f t="shared" ref="K30" si="14">L30+M30</f>
        <v>26581686.219999999</v>
      </c>
      <c r="L30" s="43">
        <f>SUM(L9:L29)</f>
        <v>17137563.370000001</v>
      </c>
      <c r="M30" s="43">
        <f>SUM(M9:M29)</f>
        <v>9444122.8499999978</v>
      </c>
      <c r="N30" s="31">
        <f t="shared" ref="N30" si="15">O30+P30</f>
        <v>11392151.24</v>
      </c>
      <c r="O30" s="43">
        <f>SUM(O9:O29)</f>
        <v>9210028.2700000014</v>
      </c>
      <c r="P30" s="43">
        <f>SUM(P9:P29)</f>
        <v>2182122.9699999993</v>
      </c>
      <c r="Q30" s="31">
        <f t="shared" si="7"/>
        <v>37973837.459999993</v>
      </c>
      <c r="R30" s="43">
        <f>SUM(R9:R29)</f>
        <v>26347591.640000001</v>
      </c>
      <c r="S30" s="43">
        <f>SUM(S9:S29)</f>
        <v>11626245.819999997</v>
      </c>
      <c r="T30" s="29">
        <v>97</v>
      </c>
      <c r="U30" s="44"/>
      <c r="V30" s="33">
        <v>-2</v>
      </c>
      <c r="W30" s="32"/>
      <c r="X30" s="32">
        <f>Y30+Z30</f>
        <v>32282804.889999993</v>
      </c>
      <c r="Y30" s="32">
        <f>SUM(Y9:Y29)</f>
        <v>21443140.019999996</v>
      </c>
      <c r="Z30" s="32">
        <f>SUM(Z9:Z29)</f>
        <v>10839664.869999999</v>
      </c>
      <c r="AA30" s="34">
        <f>SUM(AA9:AA29)</f>
        <v>5691032.5699999994</v>
      </c>
      <c r="AB30" s="35"/>
      <c r="AC30" s="2"/>
      <c r="AD30" s="2"/>
      <c r="AE30" s="2"/>
    </row>
    <row r="31" spans="1:31" ht="27.75" customHeight="1">
      <c r="A31" s="46"/>
      <c r="B31" s="46" t="s">
        <v>79</v>
      </c>
      <c r="C31" s="46"/>
      <c r="D31" s="46"/>
      <c r="E31" s="30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32">
        <f>B37-X30</f>
        <v>5691032.5700000152</v>
      </c>
      <c r="Y31" s="46"/>
      <c r="Z31" s="46"/>
      <c r="AA31" s="35"/>
      <c r="AB31" s="35"/>
    </row>
    <row r="32" spans="1:31" ht="20.25">
      <c r="A32" s="47"/>
      <c r="B32" s="47" t="s">
        <v>80</v>
      </c>
      <c r="C32" s="48"/>
      <c r="D32" s="47">
        <f>SUMIF($I$9:$I$29,1,$D$9:$D$29)</f>
        <v>102</v>
      </c>
      <c r="E32" s="49">
        <f>SUMIF($I$9:$I$29,1,$E$9:$E$29)</f>
        <v>25.5</v>
      </c>
      <c r="F32" s="47">
        <f>SUMIF($I$9:$I$29,1,$F$9:$F$29)</f>
        <v>79</v>
      </c>
      <c r="G32" s="47">
        <f>SUMIF($I$9:$I$29,1,$G$9:$G$29)</f>
        <v>25</v>
      </c>
      <c r="H32" s="47"/>
      <c r="I32" s="47"/>
      <c r="J32" s="50">
        <f>SUMIF($I$9:$I$29,1,$J$9:$J$29)</f>
        <v>72518</v>
      </c>
      <c r="K32" s="24"/>
      <c r="L32" s="24"/>
      <c r="M32" s="24"/>
      <c r="N32" s="51"/>
      <c r="O32" s="24"/>
      <c r="P32" s="24"/>
      <c r="Q32" s="24"/>
      <c r="R32" s="24"/>
      <c r="S32" s="24"/>
      <c r="T32" s="24"/>
      <c r="U32" s="24"/>
      <c r="V32" s="24"/>
      <c r="W32" s="24"/>
      <c r="X32" s="51"/>
      <c r="Y32" s="24"/>
      <c r="Z32" s="24"/>
      <c r="AA32" s="24"/>
      <c r="AB32" s="24"/>
      <c r="AC32" s="52"/>
      <c r="AD32" s="52"/>
      <c r="AE32" s="52"/>
    </row>
    <row r="33" spans="1:31" ht="20.25">
      <c r="A33" s="53"/>
      <c r="B33" s="53" t="s">
        <v>81</v>
      </c>
      <c r="C33" s="54"/>
      <c r="D33" s="53">
        <f>SUMIF($I$9:$I$29,2,$D$9:$D$29)</f>
        <v>305</v>
      </c>
      <c r="E33" s="55">
        <f>SUMIF($I$9:$I$29,2,$E$9:$E$29)</f>
        <v>121.5</v>
      </c>
      <c r="F33" s="53">
        <f>SUMIF($I$9:$I$29,2,$F$9:$F$29)</f>
        <v>237</v>
      </c>
      <c r="G33" s="53">
        <f>SUMIF($I$9:$I$29,2,$G$9:$G$29)</f>
        <v>117</v>
      </c>
      <c r="H33" s="53"/>
      <c r="I33" s="53"/>
      <c r="J33" s="56">
        <f>SUMIF($I$9:$I$29,2,$J$9:$J$29)</f>
        <v>356486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52"/>
      <c r="AD33" s="52"/>
      <c r="AE33" s="52"/>
    </row>
    <row r="34" spans="1:31" ht="20.25">
      <c r="A34" s="53"/>
      <c r="B34" s="53" t="s">
        <v>82</v>
      </c>
      <c r="C34" s="54"/>
      <c r="D34" s="53">
        <f>SUMIF($I$9:$I$29,3,$D$9:$D$29)</f>
        <v>127</v>
      </c>
      <c r="E34" s="55">
        <f>SUMIF($I$9:$I$29,3,$E$9:$E$29)</f>
        <v>49.5</v>
      </c>
      <c r="F34" s="53">
        <f>SUMIF($I$9:$I$29,3,$F$9:$F$29)</f>
        <v>99</v>
      </c>
      <c r="G34" s="53">
        <f>SUMIF($I$9:$I$29,3,$G$9:$G$29)</f>
        <v>61</v>
      </c>
      <c r="H34" s="53"/>
      <c r="I34" s="53"/>
      <c r="J34" s="56">
        <f>SUMIF($I$9:$I$29,3,$J$9:$J$29)</f>
        <v>247336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52"/>
      <c r="AD34" s="52"/>
      <c r="AE34" s="52"/>
    </row>
    <row r="35" spans="1:31" ht="2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52"/>
      <c r="AD35" s="52"/>
      <c r="AE35" s="52"/>
    </row>
    <row r="36" spans="1:31" ht="132" customHeight="1">
      <c r="A36" s="35"/>
      <c r="B36" s="20" t="s">
        <v>83</v>
      </c>
      <c r="C36" s="12" t="s">
        <v>84</v>
      </c>
      <c r="D36" s="13"/>
      <c r="E36" s="14"/>
      <c r="F36" s="57"/>
      <c r="G36" s="57"/>
      <c r="H36" s="12" t="s">
        <v>85</v>
      </c>
      <c r="I36" s="13"/>
      <c r="J36" s="14"/>
      <c r="K36" s="12" t="s">
        <v>86</v>
      </c>
      <c r="L36" s="14"/>
      <c r="M36" s="12" t="s">
        <v>87</v>
      </c>
      <c r="N36" s="1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52"/>
      <c r="AD36" s="52"/>
      <c r="AE36" s="52"/>
    </row>
    <row r="37" spans="1:31" s="36" customFormat="1" ht="40.5" customHeight="1">
      <c r="A37" s="46"/>
      <c r="B37" s="32">
        <v>37973837.460000008</v>
      </c>
      <c r="C37" s="58"/>
      <c r="D37" s="59"/>
      <c r="E37" s="60">
        <f>ROUND(B37*0.7,2)</f>
        <v>26581686.219999999</v>
      </c>
      <c r="F37" s="61"/>
      <c r="G37" s="61"/>
      <c r="H37" s="58"/>
      <c r="I37" s="59"/>
      <c r="J37" s="62">
        <f>IFERROR(E37/(J33+J34),0)</f>
        <v>44.022387756656762</v>
      </c>
      <c r="K37" s="58"/>
      <c r="L37" s="60">
        <f>B37-E37</f>
        <v>11392151.24000001</v>
      </c>
      <c r="M37" s="58"/>
      <c r="N37" s="62">
        <f>IFERROR($L$37/$E$34,0)</f>
        <v>230144.46949494968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4"/>
      <c r="AD37" s="64"/>
      <c r="AE37" s="64"/>
    </row>
  </sheetData>
  <mergeCells count="21">
    <mergeCell ref="X6:Z6"/>
    <mergeCell ref="AA6:AA7"/>
    <mergeCell ref="AB6:AB7"/>
    <mergeCell ref="C36:E36"/>
    <mergeCell ref="H36:J36"/>
    <mergeCell ref="K36:L36"/>
    <mergeCell ref="M36:N36"/>
    <mergeCell ref="N6:P6"/>
    <mergeCell ref="Q6:S6"/>
    <mergeCell ref="T6:T7"/>
    <mergeCell ref="U6:U7"/>
    <mergeCell ref="V6:V7"/>
    <mergeCell ref="W6:W7"/>
    <mergeCell ref="A2:M2"/>
    <mergeCell ref="A3:M3"/>
    <mergeCell ref="A6:A7"/>
    <mergeCell ref="B6:B7"/>
    <mergeCell ref="C6:C7"/>
    <mergeCell ref="D6:I6"/>
    <mergeCell ref="J6:J7"/>
    <mergeCell ref="K6:M6"/>
  </mergeCells>
  <conditionalFormatting sqref="I9:I29">
    <cfRule type="cellIs" dxfId="4" priority="4" operator="equal">
      <formula>3</formula>
    </cfRule>
    <cfRule type="cellIs" dxfId="3" priority="5" operator="equal">
      <formula>2</formula>
    </cfRule>
  </conditionalFormatting>
  <conditionalFormatting sqref="U9:U29">
    <cfRule type="cellIs" dxfId="2" priority="3" operator="equal">
      <formula>0</formula>
    </cfRule>
  </conditionalFormatting>
  <conditionalFormatting sqref="W9:W29">
    <cfRule type="cellIs" dxfId="1" priority="2" operator="equal">
      <formula>0</formula>
    </cfRule>
  </conditionalFormatting>
  <conditionalFormatting sqref="X9:Z29">
    <cfRule type="cellIs" dxfId="0" priority="1" operator="equal">
      <formula>0</formula>
    </cfRule>
  </conditionalFormatting>
  <pageMargins left="0.2" right="0.15748031496062992" top="0.51181102362204722" bottom="0.39370078740157483" header="0.31496062992125984" footer="0.31496062992125984"/>
  <pageSetup paperSize="9" scale="2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Оценка_12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2023-12-15T05:52:59Z</dcterms:created>
  <dcterms:modified xsi:type="dcterms:W3CDTF">2023-12-15T05:57:29Z</dcterms:modified>
</cp:coreProperties>
</file>